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19425" windowHeight="10425" firstSheet="5" activeTab="12"/>
  </bookViews>
  <sheets>
    <sheet name="zał.nr 2" sheetId="23" state="hidden" r:id="rId1"/>
    <sheet name="struktura " sheetId="25" r:id="rId2"/>
    <sheet name="wyd.wg klasyf." sheetId="17" r:id="rId3"/>
    <sheet name="dz.rozdz.par. 2011" sheetId="1" r:id="rId4"/>
    <sheet name="Arkusz2" sheetId="34" r:id="rId5"/>
    <sheet name="załącznik nr 3" sheetId="45" r:id="rId6"/>
    <sheet name="zał.6" sheetId="44" r:id="rId7"/>
    <sheet name="zał.7" sheetId="41" r:id="rId8"/>
    <sheet name="zał.8" sheetId="40" r:id="rId9"/>
    <sheet name="zał.9" sheetId="39" r:id="rId10"/>
    <sheet name="zał.10" sheetId="36" r:id="rId11"/>
    <sheet name="zał.11" sheetId="35" r:id="rId12"/>
    <sheet name="zał.12" sheetId="48" r:id="rId13"/>
    <sheet name="zał.13" sheetId="46" r:id="rId14"/>
  </sheets>
  <definedNames>
    <definedName name="_xlnm._FilterDatabase" localSheetId="13" hidden="1">zał.13!#REF!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" i="36"/>
  <c r="G21"/>
  <c r="F47" i="35"/>
  <c r="G47"/>
  <c r="H47"/>
  <c r="I47"/>
  <c r="J47"/>
  <c r="E47"/>
  <c r="I62"/>
  <c r="F41"/>
  <c r="G41"/>
  <c r="H41"/>
  <c r="I41"/>
  <c r="J41"/>
  <c r="E41"/>
  <c r="F40"/>
  <c r="E40" s="1"/>
  <c r="G52"/>
  <c r="F59"/>
  <c r="F52"/>
  <c r="F46"/>
  <c r="E46" s="1"/>
  <c r="F45"/>
  <c r="G45"/>
  <c r="H45"/>
  <c r="I45"/>
  <c r="J45"/>
  <c r="E45"/>
  <c r="G22" l="1"/>
  <c r="F21"/>
  <c r="F22" s="1"/>
  <c r="E21" l="1"/>
  <c r="E22" s="1"/>
  <c r="G50" i="36"/>
  <c r="G56" s="1"/>
  <c r="F56" i="35"/>
  <c r="J61"/>
  <c r="I61"/>
  <c r="H61"/>
  <c r="G61"/>
  <c r="F60"/>
  <c r="F61" s="1"/>
  <c r="J59"/>
  <c r="I59"/>
  <c r="H59"/>
  <c r="G59"/>
  <c r="F58"/>
  <c r="E58" s="1"/>
  <c r="F57"/>
  <c r="E57" s="1"/>
  <c r="E56"/>
  <c r="F55"/>
  <c r="E55" s="1"/>
  <c r="F54"/>
  <c r="E54" s="1"/>
  <c r="F53"/>
  <c r="J52"/>
  <c r="I52"/>
  <c r="H52"/>
  <c r="F51"/>
  <c r="E51" s="1"/>
  <c r="F50"/>
  <c r="E50" s="1"/>
  <c r="F49"/>
  <c r="E49" s="1"/>
  <c r="F48"/>
  <c r="F44"/>
  <c r="J43"/>
  <c r="J62" s="1"/>
  <c r="I43"/>
  <c r="H43"/>
  <c r="G43"/>
  <c r="F42"/>
  <c r="E42" s="1"/>
  <c r="E43" s="1"/>
  <c r="J39"/>
  <c r="I39"/>
  <c r="H39"/>
  <c r="G39"/>
  <c r="F38"/>
  <c r="E38" s="1"/>
  <c r="E39" s="1"/>
  <c r="J37"/>
  <c r="I37"/>
  <c r="H37"/>
  <c r="G37"/>
  <c r="F36"/>
  <c r="E36" s="1"/>
  <c r="E37" s="1"/>
  <c r="J35"/>
  <c r="I35"/>
  <c r="H35"/>
  <c r="G35"/>
  <c r="F34"/>
  <c r="E34" s="1"/>
  <c r="F33"/>
  <c r="E33" s="1"/>
  <c r="E35" s="1"/>
  <c r="J32"/>
  <c r="I32"/>
  <c r="H32"/>
  <c r="G32"/>
  <c r="F31"/>
  <c r="E31" s="1"/>
  <c r="E32" s="1"/>
  <c r="J30"/>
  <c r="I30"/>
  <c r="H30"/>
  <c r="G30"/>
  <c r="F29"/>
  <c r="E29" s="1"/>
  <c r="E30" s="1"/>
  <c r="J28"/>
  <c r="I28"/>
  <c r="H28"/>
  <c r="H62" s="1"/>
  <c r="G28"/>
  <c r="G62" s="1"/>
  <c r="F27"/>
  <c r="E27" s="1"/>
  <c r="F26"/>
  <c r="E26" s="1"/>
  <c r="F25"/>
  <c r="E25" s="1"/>
  <c r="E24"/>
  <c r="F23"/>
  <c r="J22"/>
  <c r="I22"/>
  <c r="H22"/>
  <c r="F20"/>
  <c r="E20" s="1"/>
  <c r="F19"/>
  <c r="E19" s="1"/>
  <c r="F18"/>
  <c r="E18" s="1"/>
  <c r="F17"/>
  <c r="E17" s="1"/>
  <c r="F16"/>
  <c r="E16" s="1"/>
  <c r="F15"/>
  <c r="E15" s="1"/>
  <c r="F14"/>
  <c r="E14" s="1"/>
  <c r="F13"/>
  <c r="E13" s="1"/>
  <c r="F30" l="1"/>
  <c r="F32"/>
  <c r="E48"/>
  <c r="E52" s="1"/>
  <c r="E53"/>
  <c r="E59" s="1"/>
  <c r="E60"/>
  <c r="F28"/>
  <c r="F35"/>
  <c r="F37"/>
  <c r="F39"/>
  <c r="F43"/>
  <c r="E23"/>
  <c r="E28" s="1"/>
  <c r="E62" s="1"/>
  <c r="E44"/>
  <c r="F62" l="1"/>
  <c r="E61"/>
  <c r="AF22" i="39" l="1"/>
  <c r="AF21" l="1"/>
  <c r="F20" i="44"/>
  <c r="F18"/>
  <c r="F15"/>
  <c r="F14" s="1"/>
  <c r="H10" i="36"/>
  <c r="I10"/>
  <c r="AF12" i="39" l="1"/>
  <c r="AF20"/>
  <c r="F17" i="44"/>
  <c r="I22" i="48"/>
  <c r="E12" i="45"/>
  <c r="I21" i="36" l="1"/>
  <c r="E37" i="46" l="1"/>
  <c r="H21" i="36" l="1"/>
  <c r="I50" l="1"/>
  <c r="G12" i="39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F37" i="46" l="1"/>
  <c r="H50" i="36" l="1"/>
  <c r="D18" i="40"/>
  <c r="D14"/>
  <c r="E18"/>
  <c r="E23" s="1"/>
  <c r="D23" l="1"/>
  <c r="D22" i="48"/>
  <c r="J14" i="41" l="1"/>
  <c r="F23" i="44"/>
  <c r="E18" i="45" l="1"/>
  <c r="E21" s="1"/>
  <c r="F27" i="44" l="1"/>
  <c r="F12"/>
  <c r="F11"/>
  <c r="F22" l="1"/>
  <c r="F29" s="1"/>
  <c r="D14" i="41"/>
  <c r="F18" i="39"/>
  <c r="F12" s="1"/>
  <c r="F16"/>
  <c r="F13"/>
  <c r="H260" i="1" l="1"/>
  <c r="M103"/>
  <c r="M43"/>
  <c r="N43"/>
  <c r="L13"/>
  <c r="I54" i="36"/>
  <c r="I55" s="1"/>
  <c r="H55"/>
  <c r="G55"/>
  <c r="F326" i="1"/>
  <c r="O43" l="1"/>
  <c r="G67"/>
  <c r="E566"/>
  <c r="E563"/>
  <c r="E564"/>
  <c r="E52"/>
  <c r="G52"/>
  <c r="F446" l="1"/>
  <c r="I245"/>
  <c r="I247"/>
  <c r="I249"/>
  <c r="I252"/>
  <c r="I253"/>
  <c r="I244"/>
  <c r="G556"/>
  <c r="G555"/>
  <c r="G319"/>
  <c r="H319"/>
  <c r="J156"/>
  <c r="J155" s="1"/>
  <c r="I156"/>
  <c r="I155" s="1"/>
  <c r="H156"/>
  <c r="H155" s="1"/>
  <c r="H541" s="1"/>
  <c r="G156"/>
  <c r="G155" s="1"/>
  <c r="F156"/>
  <c r="F155" s="1"/>
  <c r="E156"/>
  <c r="E155" s="1"/>
  <c r="F491" l="1"/>
  <c r="F478"/>
  <c r="F479"/>
  <c r="F316"/>
  <c r="F308"/>
  <c r="F55"/>
  <c r="F52" s="1"/>
  <c r="F423"/>
  <c r="F493"/>
  <c r="F508"/>
  <c r="F513"/>
  <c r="F514"/>
  <c r="F515"/>
  <c r="F516"/>
  <c r="F517"/>
  <c r="F518"/>
  <c r="F519"/>
  <c r="F520"/>
  <c r="F525"/>
  <c r="F527"/>
  <c r="F348"/>
  <c r="F347"/>
  <c r="F346"/>
  <c r="F345"/>
  <c r="F344"/>
  <c r="F343"/>
  <c r="F342"/>
  <c r="F341"/>
  <c r="F340"/>
  <c r="F339"/>
  <c r="F338"/>
  <c r="F337"/>
  <c r="F336"/>
  <c r="F335"/>
  <c r="F331"/>
  <c r="F332"/>
  <c r="F333"/>
  <c r="F330"/>
  <c r="F88"/>
  <c r="H255"/>
  <c r="H256"/>
  <c r="H257"/>
  <c r="H258"/>
  <c r="H259"/>
  <c r="H261"/>
  <c r="H262"/>
  <c r="H263"/>
  <c r="H254"/>
  <c r="H253"/>
  <c r="H251"/>
  <c r="H246"/>
  <c r="F255"/>
  <c r="I255" s="1"/>
  <c r="F256"/>
  <c r="I256" s="1"/>
  <c r="F257"/>
  <c r="I257" s="1"/>
  <c r="F258"/>
  <c r="I258" s="1"/>
  <c r="F259"/>
  <c r="I259" s="1"/>
  <c r="F261"/>
  <c r="I261" s="1"/>
  <c r="F254"/>
  <c r="I254" s="1"/>
  <c r="L251"/>
  <c r="L252"/>
  <c r="L253"/>
  <c r="F250"/>
  <c r="L249"/>
  <c r="F246"/>
  <c r="I246" s="1"/>
  <c r="F523"/>
  <c r="F522"/>
  <c r="G243"/>
  <c r="E243"/>
  <c r="F467"/>
  <c r="F297"/>
  <c r="F295"/>
  <c r="F294"/>
  <c r="F243" l="1"/>
  <c r="I243" s="1"/>
  <c r="H243"/>
  <c r="L250"/>
  <c r="I250"/>
  <c r="F201"/>
  <c r="F188"/>
  <c r="F132"/>
  <c r="F133"/>
  <c r="F134"/>
  <c r="F131"/>
  <c r="G131" s="1"/>
  <c r="F119"/>
  <c r="F120"/>
  <c r="F121"/>
  <c r="F122"/>
  <c r="F123"/>
  <c r="F124"/>
  <c r="F118"/>
  <c r="F108"/>
  <c r="F104"/>
  <c r="F105"/>
  <c r="F106"/>
  <c r="F103"/>
  <c r="F99"/>
  <c r="F98"/>
  <c r="M495"/>
  <c r="L495"/>
  <c r="H486"/>
  <c r="L103" l="1"/>
  <c r="H535"/>
  <c r="F540"/>
  <c r="F537"/>
  <c r="F539"/>
  <c r="F536"/>
  <c r="F534"/>
  <c r="F533"/>
  <c r="F532"/>
  <c r="H512"/>
  <c r="H169"/>
  <c r="H162" s="1"/>
  <c r="F166"/>
  <c r="F167"/>
  <c r="F169"/>
  <c r="F170"/>
  <c r="F171"/>
  <c r="F173"/>
  <c r="F174"/>
  <c r="F175"/>
  <c r="F165"/>
  <c r="H41"/>
  <c r="F484"/>
  <c r="F475"/>
  <c r="F84" l="1"/>
  <c r="F78"/>
  <c r="F79"/>
  <c r="G79" s="1"/>
  <c r="F80"/>
  <c r="G80" s="1"/>
  <c r="F77"/>
  <c r="G77" s="1"/>
  <c r="I386" l="1"/>
  <c r="I387"/>
  <c r="F416"/>
  <c r="F388"/>
  <c r="F415"/>
  <c r="F412"/>
  <c r="F411"/>
  <c r="F406"/>
  <c r="F407"/>
  <c r="F405"/>
  <c r="F403"/>
  <c r="F402"/>
  <c r="F398"/>
  <c r="F399"/>
  <c r="F400"/>
  <c r="F397"/>
  <c r="F395"/>
  <c r="F394"/>
  <c r="F393"/>
  <c r="F392"/>
  <c r="F391"/>
  <c r="F389"/>
  <c r="F208"/>
  <c r="G208"/>
  <c r="I88" l="1"/>
  <c r="I89"/>
  <c r="I90"/>
  <c r="I91"/>
  <c r="I92"/>
  <c r="I93"/>
  <c r="I15"/>
  <c r="I16"/>
  <c r="I22"/>
  <c r="I23"/>
  <c r="I24"/>
  <c r="I25"/>
  <c r="I26"/>
  <c r="I27"/>
  <c r="I28"/>
  <c r="I29"/>
  <c r="I30"/>
  <c r="I34"/>
  <c r="I42"/>
  <c r="I43"/>
  <c r="I44"/>
  <c r="I45"/>
  <c r="I48"/>
  <c r="I51"/>
  <c r="I54"/>
  <c r="I55"/>
  <c r="I56"/>
  <c r="I57"/>
  <c r="I58"/>
  <c r="I59"/>
  <c r="I60"/>
  <c r="I61"/>
  <c r="I62"/>
  <c r="I64"/>
  <c r="I65"/>
  <c r="I68"/>
  <c r="I69"/>
  <c r="I72"/>
  <c r="I74"/>
  <c r="I77"/>
  <c r="I78"/>
  <c r="I79"/>
  <c r="I80"/>
  <c r="I81"/>
  <c r="I82"/>
  <c r="I83"/>
  <c r="I84"/>
  <c r="I85"/>
  <c r="I87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8"/>
  <c r="I119"/>
  <c r="I120"/>
  <c r="I121"/>
  <c r="I122"/>
  <c r="I123"/>
  <c r="I124"/>
  <c r="I129"/>
  <c r="I131"/>
  <c r="I132"/>
  <c r="I133"/>
  <c r="I134"/>
  <c r="I135"/>
  <c r="I136"/>
  <c r="I143"/>
  <c r="I144"/>
  <c r="I145"/>
  <c r="I146"/>
  <c r="I147"/>
  <c r="I148"/>
  <c r="I149"/>
  <c r="I150"/>
  <c r="I151"/>
  <c r="I154"/>
  <c r="I160"/>
  <c r="I161"/>
  <c r="I163"/>
  <c r="I164"/>
  <c r="I165"/>
  <c r="I166"/>
  <c r="I167"/>
  <c r="I168"/>
  <c r="I169"/>
  <c r="I170"/>
  <c r="I171"/>
  <c r="I172"/>
  <c r="I173"/>
  <c r="I174"/>
  <c r="I175"/>
  <c r="I176"/>
  <c r="I179"/>
  <c r="I181"/>
  <c r="I182"/>
  <c r="I183"/>
  <c r="I184"/>
  <c r="I185"/>
  <c r="I188"/>
  <c r="I193"/>
  <c r="I194"/>
  <c r="I195"/>
  <c r="I196"/>
  <c r="I197"/>
  <c r="I200"/>
  <c r="I201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3"/>
  <c r="I234"/>
  <c r="I235"/>
  <c r="I236"/>
  <c r="I237"/>
  <c r="I238"/>
  <c r="I239"/>
  <c r="I240"/>
  <c r="I241"/>
  <c r="I242"/>
  <c r="I262"/>
  <c r="I263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8"/>
  <c r="I289"/>
  <c r="I290"/>
  <c r="I291"/>
  <c r="I292"/>
  <c r="I293"/>
  <c r="I294"/>
  <c r="I295"/>
  <c r="I296"/>
  <c r="I297"/>
  <c r="I298"/>
  <c r="I299"/>
  <c r="I300"/>
  <c r="I301"/>
  <c r="I303"/>
  <c r="I304"/>
  <c r="I306"/>
  <c r="I307"/>
  <c r="I308"/>
  <c r="I309"/>
  <c r="I310"/>
  <c r="I311"/>
  <c r="I312"/>
  <c r="I313"/>
  <c r="I314"/>
  <c r="I315"/>
  <c r="I316"/>
  <c r="I317"/>
  <c r="I318"/>
  <c r="I320"/>
  <c r="I321"/>
  <c r="I322"/>
  <c r="I323"/>
  <c r="I326"/>
  <c r="I327"/>
  <c r="I328"/>
  <c r="I330"/>
  <c r="I331"/>
  <c r="I332"/>
  <c r="I333"/>
  <c r="I335"/>
  <c r="I336"/>
  <c r="I337"/>
  <c r="I338"/>
  <c r="I339"/>
  <c r="I340"/>
  <c r="I341"/>
  <c r="I342"/>
  <c r="I343"/>
  <c r="I344"/>
  <c r="I345"/>
  <c r="I346"/>
  <c r="I347"/>
  <c r="I348"/>
  <c r="I350"/>
  <c r="I353"/>
  <c r="I355"/>
  <c r="I357"/>
  <c r="I358"/>
  <c r="I359"/>
  <c r="I360"/>
  <c r="I361"/>
  <c r="I362"/>
  <c r="I363"/>
  <c r="I364"/>
  <c r="I365"/>
  <c r="I366"/>
  <c r="I367"/>
  <c r="I368"/>
  <c r="I369"/>
  <c r="I370"/>
  <c r="I371"/>
  <c r="I372"/>
  <c r="I374"/>
  <c r="I376"/>
  <c r="I377"/>
  <c r="I379"/>
  <c r="I381"/>
  <c r="I382"/>
  <c r="I384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5"/>
  <c r="I426"/>
  <c r="I427"/>
  <c r="I428"/>
  <c r="I429"/>
  <c r="I430"/>
  <c r="I431"/>
  <c r="I432"/>
  <c r="I433"/>
  <c r="I434"/>
  <c r="I435"/>
  <c r="I437"/>
  <c r="I439"/>
  <c r="I441"/>
  <c r="I442"/>
  <c r="I443"/>
  <c r="I444"/>
  <c r="I445"/>
  <c r="I446"/>
  <c r="I449"/>
  <c r="I452"/>
  <c r="I453"/>
  <c r="I454"/>
  <c r="I455"/>
  <c r="I456"/>
  <c r="I457"/>
  <c r="I458"/>
  <c r="I459"/>
  <c r="I460"/>
  <c r="I461"/>
  <c r="I462"/>
  <c r="I463"/>
  <c r="I464"/>
  <c r="I465"/>
  <c r="I467"/>
  <c r="I469"/>
  <c r="I470"/>
  <c r="I471"/>
  <c r="I472"/>
  <c r="I475"/>
  <c r="I476"/>
  <c r="I477"/>
  <c r="I478"/>
  <c r="I479"/>
  <c r="I481"/>
  <c r="I482"/>
  <c r="I484"/>
  <c r="I485"/>
  <c r="I487"/>
  <c r="I488"/>
  <c r="I489"/>
  <c r="I491"/>
  <c r="I493"/>
  <c r="I494"/>
  <c r="I495"/>
  <c r="I496"/>
  <c r="I498"/>
  <c r="I499"/>
  <c r="I500"/>
  <c r="I501"/>
  <c r="I502"/>
  <c r="I503"/>
  <c r="I504"/>
  <c r="I505"/>
  <c r="I506"/>
  <c r="I508"/>
  <c r="I511"/>
  <c r="I513"/>
  <c r="I514"/>
  <c r="I515"/>
  <c r="I516"/>
  <c r="I517"/>
  <c r="I518"/>
  <c r="I519"/>
  <c r="I520"/>
  <c r="I521"/>
  <c r="I522"/>
  <c r="I523"/>
  <c r="I525"/>
  <c r="I527"/>
  <c r="I530"/>
  <c r="I532"/>
  <c r="I533"/>
  <c r="I534"/>
  <c r="I536"/>
  <c r="I537"/>
  <c r="I539"/>
  <c r="I540"/>
  <c r="E468"/>
  <c r="E177"/>
  <c r="E535"/>
  <c r="E531"/>
  <c r="E512"/>
  <c r="E497"/>
  <c r="E492"/>
  <c r="E474"/>
  <c r="E451"/>
  <c r="E440"/>
  <c r="E424"/>
  <c r="E383"/>
  <c r="E356"/>
  <c r="E334"/>
  <c r="E329"/>
  <c r="E325"/>
  <c r="E319"/>
  <c r="E305"/>
  <c r="E302"/>
  <c r="E287"/>
  <c r="E264"/>
  <c r="E232"/>
  <c r="E208"/>
  <c r="E199"/>
  <c r="E187"/>
  <c r="E186" s="1"/>
  <c r="E180"/>
  <c r="E162"/>
  <c r="E159"/>
  <c r="E142"/>
  <c r="E138"/>
  <c r="E130"/>
  <c r="E125"/>
  <c r="E117"/>
  <c r="E94"/>
  <c r="E86"/>
  <c r="E76"/>
  <c r="E41"/>
  <c r="E36"/>
  <c r="E32"/>
  <c r="E31" s="1"/>
  <c r="E21"/>
  <c r="E12"/>
  <c r="E49"/>
  <c r="F474"/>
  <c r="F468"/>
  <c r="G468"/>
  <c r="F451"/>
  <c r="G451"/>
  <c r="F440"/>
  <c r="G440"/>
  <c r="F424"/>
  <c r="G424"/>
  <c r="F383"/>
  <c r="G383"/>
  <c r="F356"/>
  <c r="G356"/>
  <c r="F334"/>
  <c r="G334"/>
  <c r="F305"/>
  <c r="G305"/>
  <c r="F302"/>
  <c r="G302"/>
  <c r="F287"/>
  <c r="G287"/>
  <c r="F264"/>
  <c r="G264"/>
  <c r="F232"/>
  <c r="G232"/>
  <c r="F199"/>
  <c r="G199"/>
  <c r="F187"/>
  <c r="F186" s="1"/>
  <c r="G187"/>
  <c r="G186" s="1"/>
  <c r="F180"/>
  <c r="G180"/>
  <c r="F162"/>
  <c r="G162"/>
  <c r="F159"/>
  <c r="G159"/>
  <c r="F142"/>
  <c r="G142"/>
  <c r="F130"/>
  <c r="G130"/>
  <c r="G125"/>
  <c r="F117"/>
  <c r="G117"/>
  <c r="F94"/>
  <c r="G94"/>
  <c r="M93" s="1"/>
  <c r="F86"/>
  <c r="G86"/>
  <c r="F76"/>
  <c r="G76"/>
  <c r="F67"/>
  <c r="I67" s="1"/>
  <c r="F49"/>
  <c r="I52"/>
  <c r="F41"/>
  <c r="G41"/>
  <c r="L43" s="1"/>
  <c r="F21"/>
  <c r="G21"/>
  <c r="G12"/>
  <c r="M13" s="1"/>
  <c r="F438"/>
  <c r="G438"/>
  <c r="E438"/>
  <c r="F380"/>
  <c r="G380"/>
  <c r="E380"/>
  <c r="F178"/>
  <c r="F140"/>
  <c r="F141"/>
  <c r="F139"/>
  <c r="F127"/>
  <c r="I127" s="1"/>
  <c r="F128"/>
  <c r="I128" s="1"/>
  <c r="F126"/>
  <c r="F40"/>
  <c r="I40" s="1"/>
  <c r="F37"/>
  <c r="I37" s="1"/>
  <c r="F14"/>
  <c r="I14" s="1"/>
  <c r="F13"/>
  <c r="I13" s="1"/>
  <c r="F18"/>
  <c r="G18" s="1"/>
  <c r="I18" s="1"/>
  <c r="F20"/>
  <c r="I20" s="1"/>
  <c r="F33"/>
  <c r="I33" s="1"/>
  <c r="I142" l="1"/>
  <c r="I186"/>
  <c r="I117"/>
  <c r="E75"/>
  <c r="E158"/>
  <c r="I159"/>
  <c r="I199"/>
  <c r="L383"/>
  <c r="I468"/>
  <c r="I287"/>
  <c r="E207"/>
  <c r="I438"/>
  <c r="I130"/>
  <c r="I180"/>
  <c r="I334"/>
  <c r="I21"/>
  <c r="G75"/>
  <c r="E137"/>
  <c r="F125"/>
  <c r="F75" s="1"/>
  <c r="I75" s="1"/>
  <c r="L20"/>
  <c r="F138"/>
  <c r="F137" s="1"/>
  <c r="G139"/>
  <c r="E562" s="1"/>
  <c r="G141"/>
  <c r="I141" s="1"/>
  <c r="G140"/>
  <c r="G178"/>
  <c r="I178" s="1"/>
  <c r="I94"/>
  <c r="L94"/>
  <c r="I76"/>
  <c r="I86"/>
  <c r="I440"/>
  <c r="E528"/>
  <c r="I187"/>
  <c r="I126"/>
  <c r="I162"/>
  <c r="I41"/>
  <c r="I451"/>
  <c r="I305"/>
  <c r="I302"/>
  <c r="G207"/>
  <c r="I264"/>
  <c r="I232"/>
  <c r="I424"/>
  <c r="I383"/>
  <c r="I380"/>
  <c r="I356"/>
  <c r="I208"/>
  <c r="F12"/>
  <c r="I12" s="1"/>
  <c r="M518"/>
  <c r="M513"/>
  <c r="M500"/>
  <c r="L487"/>
  <c r="M487"/>
  <c r="I139" l="1"/>
  <c r="I125"/>
  <c r="I140"/>
  <c r="E565"/>
  <c r="L567" s="1"/>
  <c r="G138"/>
  <c r="N487"/>
  <c r="M453"/>
  <c r="L442"/>
  <c r="M442"/>
  <c r="M427"/>
  <c r="M387"/>
  <c r="M395"/>
  <c r="L393"/>
  <c r="M393"/>
  <c r="L387"/>
  <c r="M359"/>
  <c r="M338"/>
  <c r="M291"/>
  <c r="M307"/>
  <c r="M265"/>
  <c r="G137" l="1"/>
  <c r="I137" s="1"/>
  <c r="I138"/>
  <c r="N442"/>
  <c r="M233"/>
  <c r="L101"/>
  <c r="M101"/>
  <c r="M214"/>
  <c r="N101" l="1"/>
  <c r="N98"/>
  <c r="L99"/>
  <c r="M99"/>
  <c r="L97"/>
  <c r="M97"/>
  <c r="L77"/>
  <c r="L79" s="1"/>
  <c r="N97" l="1"/>
  <c r="N99"/>
  <c r="M11"/>
  <c r="M247"/>
  <c r="M401"/>
  <c r="M399"/>
  <c r="D24" i="17"/>
  <c r="F24"/>
  <c r="E21"/>
  <c r="E20"/>
  <c r="E19"/>
  <c r="E18"/>
  <c r="E17"/>
  <c r="E7"/>
  <c r="E8"/>
  <c r="E9"/>
  <c r="E10"/>
  <c r="E11"/>
  <c r="E12"/>
  <c r="E13"/>
  <c r="E14"/>
  <c r="E15"/>
  <c r="E22"/>
  <c r="E23"/>
  <c r="E6"/>
  <c r="G16"/>
  <c r="E24" l="1"/>
  <c r="F586" i="1" l="1"/>
  <c r="E586"/>
  <c r="G591"/>
  <c r="G588"/>
  <c r="F590"/>
  <c r="E590"/>
  <c r="F589"/>
  <c r="E589"/>
  <c r="N582"/>
  <c r="M582"/>
  <c r="N576"/>
  <c r="M576"/>
  <c r="F587" l="1"/>
  <c r="E587"/>
  <c r="G586"/>
  <c r="G589"/>
  <c r="G590"/>
  <c r="G587" l="1"/>
  <c r="F535"/>
  <c r="G535"/>
  <c r="F486"/>
  <c r="G486"/>
  <c r="E486"/>
  <c r="F349"/>
  <c r="G349"/>
  <c r="E349"/>
  <c r="E324" s="1"/>
  <c r="F329"/>
  <c r="G329"/>
  <c r="M250"/>
  <c r="F73"/>
  <c r="G73"/>
  <c r="E73"/>
  <c r="F36"/>
  <c r="G36"/>
  <c r="E436"/>
  <c r="F436"/>
  <c r="G436"/>
  <c r="L265"/>
  <c r="I329" l="1"/>
  <c r="I349"/>
  <c r="I36"/>
  <c r="I486"/>
  <c r="I73"/>
  <c r="I436"/>
  <c r="I535"/>
  <c r="M533"/>
  <c r="L453" l="1"/>
  <c r="N453" s="1"/>
  <c r="L427"/>
  <c r="N427" s="1"/>
  <c r="N387"/>
  <c r="L359"/>
  <c r="N359" s="1"/>
  <c r="M339" l="1"/>
  <c r="L291" l="1"/>
  <c r="N291" s="1"/>
  <c r="L307" l="1"/>
  <c r="N307" s="1"/>
  <c r="N265"/>
  <c r="L233"/>
  <c r="N233" s="1"/>
  <c r="M218"/>
  <c r="L214"/>
  <c r="N214" s="1"/>
  <c r="M172" l="1"/>
  <c r="M167"/>
  <c r="M166"/>
  <c r="L55"/>
  <c r="L54"/>
  <c r="M54"/>
  <c r="M55"/>
  <c r="N55" l="1"/>
  <c r="N54"/>
  <c r="L41"/>
  <c r="M41"/>
  <c r="N41" l="1"/>
  <c r="M553"/>
  <c r="F593"/>
  <c r="F592" s="1"/>
  <c r="G595"/>
  <c r="G596"/>
  <c r="G597"/>
  <c r="G598"/>
  <c r="G599"/>
  <c r="G600"/>
  <c r="G601"/>
  <c r="G602"/>
  <c r="G603"/>
  <c r="G594"/>
  <c r="E552" l="1"/>
  <c r="F512"/>
  <c r="G512"/>
  <c r="I512" l="1"/>
  <c r="G554"/>
  <c r="F202"/>
  <c r="F198" s="1"/>
  <c r="G202"/>
  <c r="E202"/>
  <c r="E198" s="1"/>
  <c r="F177"/>
  <c r="F158" s="1"/>
  <c r="G177"/>
  <c r="G158" l="1"/>
  <c r="I158" s="1"/>
  <c r="I177"/>
  <c r="G198"/>
  <c r="D11" i="25"/>
  <c r="B16"/>
  <c r="F552" i="1"/>
  <c r="B1" i="25"/>
  <c r="I198" i="1" l="1"/>
  <c r="G552"/>
  <c r="G603" i="23"/>
  <c r="G602"/>
  <c r="F591"/>
  <c r="E591"/>
  <c r="F589"/>
  <c r="E589"/>
  <c r="F588"/>
  <c r="F587"/>
  <c r="E587"/>
  <c r="F584"/>
  <c r="F583" s="1"/>
  <c r="E584"/>
  <c r="E583" s="1"/>
  <c r="F581"/>
  <c r="F580" s="1"/>
  <c r="E581"/>
  <c r="E580" s="1"/>
  <c r="E586" l="1"/>
  <c r="F586"/>
  <c r="E578"/>
  <c r="G580"/>
  <c r="G583"/>
  <c r="G591"/>
  <c r="F570"/>
  <c r="E570"/>
  <c r="F569"/>
  <c r="E569"/>
  <c r="F568"/>
  <c r="E568"/>
  <c r="M567"/>
  <c r="L567"/>
  <c r="G567"/>
  <c r="G566"/>
  <c r="G565"/>
  <c r="G561"/>
  <c r="G586" l="1"/>
  <c r="F578"/>
  <c r="G578" s="1"/>
  <c r="M568"/>
  <c r="L568" s="1"/>
  <c r="G568" s="1"/>
  <c r="G569"/>
  <c r="F560"/>
  <c r="E560"/>
  <c r="G559"/>
  <c r="F558"/>
  <c r="E558"/>
  <c r="F557"/>
  <c r="F556"/>
  <c r="E556"/>
  <c r="F555"/>
  <c r="F553" s="1"/>
  <c r="E555"/>
  <c r="E553" s="1"/>
  <c r="H499"/>
  <c r="H498"/>
  <c r="G497"/>
  <c r="F497"/>
  <c r="E497"/>
  <c r="H496"/>
  <c r="H495"/>
  <c r="H494"/>
  <c r="H493"/>
  <c r="H492"/>
  <c r="G491"/>
  <c r="F491"/>
  <c r="E491"/>
  <c r="H490"/>
  <c r="G489"/>
  <c r="F489"/>
  <c r="E489"/>
  <c r="F488"/>
  <c r="H487"/>
  <c r="G486"/>
  <c r="F486"/>
  <c r="E486"/>
  <c r="H485"/>
  <c r="G484"/>
  <c r="F484"/>
  <c r="E484"/>
  <c r="J483"/>
  <c r="I483"/>
  <c r="H483"/>
  <c r="H482"/>
  <c r="L481"/>
  <c r="H481"/>
  <c r="H480"/>
  <c r="H479"/>
  <c r="H478"/>
  <c r="G477"/>
  <c r="F477"/>
  <c r="E477"/>
  <c r="H476"/>
  <c r="G475"/>
  <c r="F475"/>
  <c r="E475"/>
  <c r="H473"/>
  <c r="H471"/>
  <c r="H470"/>
  <c r="H469"/>
  <c r="H468"/>
  <c r="H467"/>
  <c r="H466"/>
  <c r="H465"/>
  <c r="H464"/>
  <c r="G463"/>
  <c r="F463"/>
  <c r="E463"/>
  <c r="H462"/>
  <c r="H461"/>
  <c r="H460"/>
  <c r="H459"/>
  <c r="G458"/>
  <c r="F458"/>
  <c r="E458"/>
  <c r="H457"/>
  <c r="G456"/>
  <c r="F456"/>
  <c r="E456"/>
  <c r="H455"/>
  <c r="H454"/>
  <c r="G453"/>
  <c r="F453"/>
  <c r="E453"/>
  <c r="H452"/>
  <c r="H451"/>
  <c r="G450"/>
  <c r="F450"/>
  <c r="E450"/>
  <c r="H448"/>
  <c r="G447"/>
  <c r="F447"/>
  <c r="E447"/>
  <c r="H446"/>
  <c r="H445"/>
  <c r="H444"/>
  <c r="H443"/>
  <c r="K442"/>
  <c r="H442"/>
  <c r="G441"/>
  <c r="F441"/>
  <c r="E441"/>
  <c r="H439"/>
  <c r="I438"/>
  <c r="H438"/>
  <c r="G437"/>
  <c r="F437"/>
  <c r="E437"/>
  <c r="H436"/>
  <c r="G435"/>
  <c r="F435"/>
  <c r="E435"/>
  <c r="H434"/>
  <c r="H433"/>
  <c r="H432"/>
  <c r="H431"/>
  <c r="H430"/>
  <c r="H429"/>
  <c r="H428"/>
  <c r="H427"/>
  <c r="H426"/>
  <c r="H425"/>
  <c r="H424"/>
  <c r="H423"/>
  <c r="H422"/>
  <c r="L421"/>
  <c r="H421"/>
  <c r="G420"/>
  <c r="F420"/>
  <c r="E420"/>
  <c r="H418"/>
  <c r="G417"/>
  <c r="G416" s="1"/>
  <c r="F417"/>
  <c r="F416" s="1"/>
  <c r="E417"/>
  <c r="E416" s="1"/>
  <c r="H415"/>
  <c r="H414"/>
  <c r="L413"/>
  <c r="H413"/>
  <c r="H412"/>
  <c r="H411"/>
  <c r="L410"/>
  <c r="H410"/>
  <c r="K409"/>
  <c r="G409"/>
  <c r="F409"/>
  <c r="E409"/>
  <c r="H408"/>
  <c r="G407"/>
  <c r="F407"/>
  <c r="E407"/>
  <c r="H406"/>
  <c r="H405"/>
  <c r="H404"/>
  <c r="H403"/>
  <c r="H402"/>
  <c r="H401"/>
  <c r="H400"/>
  <c r="L399"/>
  <c r="H399"/>
  <c r="H398"/>
  <c r="G397"/>
  <c r="F397"/>
  <c r="E397"/>
  <c r="H396"/>
  <c r="H395"/>
  <c r="H394"/>
  <c r="H393"/>
  <c r="H392"/>
  <c r="H391"/>
  <c r="H390"/>
  <c r="H389"/>
  <c r="H388"/>
  <c r="H387"/>
  <c r="H386"/>
  <c r="H385"/>
  <c r="H384"/>
  <c r="H383"/>
  <c r="H382"/>
  <c r="H381"/>
  <c r="H380"/>
  <c r="H379"/>
  <c r="H378"/>
  <c r="H377"/>
  <c r="H376"/>
  <c r="H375"/>
  <c r="H374"/>
  <c r="H373"/>
  <c r="H372"/>
  <c r="H371"/>
  <c r="H370"/>
  <c r="H369"/>
  <c r="H368"/>
  <c r="H367"/>
  <c r="H366"/>
  <c r="H365"/>
  <c r="H364"/>
  <c r="H363"/>
  <c r="H362"/>
  <c r="H361"/>
  <c r="H360"/>
  <c r="H359"/>
  <c r="H358"/>
  <c r="L357"/>
  <c r="H357"/>
  <c r="L356"/>
  <c r="H356"/>
  <c r="H355"/>
  <c r="H354"/>
  <c r="G353"/>
  <c r="F353"/>
  <c r="E353"/>
  <c r="H352"/>
  <c r="G351"/>
  <c r="F351"/>
  <c r="E351"/>
  <c r="H349"/>
  <c r="G348"/>
  <c r="F348"/>
  <c r="E348"/>
  <c r="H347"/>
  <c r="G346"/>
  <c r="F346"/>
  <c r="E346"/>
  <c r="H345"/>
  <c r="H344"/>
  <c r="H343"/>
  <c r="H342"/>
  <c r="H341"/>
  <c r="H340"/>
  <c r="H336"/>
  <c r="H335"/>
  <c r="H334"/>
  <c r="H333"/>
  <c r="H332"/>
  <c r="L331"/>
  <c r="H331"/>
  <c r="G330"/>
  <c r="F330"/>
  <c r="L332" s="1"/>
  <c r="E330"/>
  <c r="H329"/>
  <c r="G328"/>
  <c r="F328"/>
  <c r="E328"/>
  <c r="H327"/>
  <c r="G326"/>
  <c r="F326"/>
  <c r="E326"/>
  <c r="H324"/>
  <c r="G323"/>
  <c r="F323"/>
  <c r="E323"/>
  <c r="H322"/>
  <c r="H321"/>
  <c r="H320"/>
  <c r="H319"/>
  <c r="H318"/>
  <c r="H317"/>
  <c r="H316"/>
  <c r="H315"/>
  <c r="H314"/>
  <c r="L313"/>
  <c r="H313"/>
  <c r="H312"/>
  <c r="L311"/>
  <c r="K302" s="1"/>
  <c r="H311"/>
  <c r="G310"/>
  <c r="F310"/>
  <c r="E310"/>
  <c r="H309"/>
  <c r="H308"/>
  <c r="L307"/>
  <c r="H307"/>
  <c r="G306"/>
  <c r="F306"/>
  <c r="E306"/>
  <c r="H305"/>
  <c r="H304"/>
  <c r="H303"/>
  <c r="H302"/>
  <c r="G301"/>
  <c r="G300" s="1"/>
  <c r="F301"/>
  <c r="E301"/>
  <c r="H299"/>
  <c r="H298"/>
  <c r="H297"/>
  <c r="H296"/>
  <c r="H294"/>
  <c r="L293"/>
  <c r="H293"/>
  <c r="G292"/>
  <c r="F292"/>
  <c r="E292"/>
  <c r="H291"/>
  <c r="H290"/>
  <c r="H289"/>
  <c r="H288"/>
  <c r="H287"/>
  <c r="L286"/>
  <c r="H286"/>
  <c r="H285"/>
  <c r="H284"/>
  <c r="H283"/>
  <c r="H282"/>
  <c r="H281"/>
  <c r="L280"/>
  <c r="H280"/>
  <c r="H279"/>
  <c r="G278"/>
  <c r="F278"/>
  <c r="E278"/>
  <c r="H277"/>
  <c r="H276"/>
  <c r="G275"/>
  <c r="F275"/>
  <c r="E275"/>
  <c r="H274"/>
  <c r="H273"/>
  <c r="H272"/>
  <c r="H271"/>
  <c r="H270"/>
  <c r="H269"/>
  <c r="H268"/>
  <c r="H267"/>
  <c r="H266"/>
  <c r="H265"/>
  <c r="H264"/>
  <c r="H263"/>
  <c r="L262"/>
  <c r="H262"/>
  <c r="H261"/>
  <c r="G260"/>
  <c r="F260"/>
  <c r="E260"/>
  <c r="H259"/>
  <c r="H258"/>
  <c r="H257"/>
  <c r="H256"/>
  <c r="H255"/>
  <c r="H254"/>
  <c r="H253"/>
  <c r="H252"/>
  <c r="H251"/>
  <c r="H250"/>
  <c r="H249"/>
  <c r="H248"/>
  <c r="H247"/>
  <c r="H246"/>
  <c r="H245"/>
  <c r="H244"/>
  <c r="H243"/>
  <c r="H242"/>
  <c r="H241"/>
  <c r="H240"/>
  <c r="L239"/>
  <c r="H239"/>
  <c r="L238"/>
  <c r="H238"/>
  <c r="G237"/>
  <c r="F237"/>
  <c r="L242" s="1"/>
  <c r="E237"/>
  <c r="H236"/>
  <c r="H235"/>
  <c r="H234"/>
  <c r="H233"/>
  <c r="H232"/>
  <c r="H231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L213"/>
  <c r="H213"/>
  <c r="G212"/>
  <c r="F212"/>
  <c r="E212"/>
  <c r="H211"/>
  <c r="H210"/>
  <c r="H209"/>
  <c r="H208"/>
  <c r="H207"/>
  <c r="H206"/>
  <c r="H205"/>
  <c r="H204"/>
  <c r="H203"/>
  <c r="L202"/>
  <c r="H202"/>
  <c r="G201"/>
  <c r="F201"/>
  <c r="E201"/>
  <c r="H200"/>
  <c r="H199"/>
  <c r="H198"/>
  <c r="H197"/>
  <c r="H196"/>
  <c r="H195"/>
  <c r="H194"/>
  <c r="H193"/>
  <c r="H192"/>
  <c r="H191"/>
  <c r="H190"/>
  <c r="H189"/>
  <c r="H188"/>
  <c r="H187"/>
  <c r="H186"/>
  <c r="H185"/>
  <c r="H184"/>
  <c r="H183"/>
  <c r="L182"/>
  <c r="H182"/>
  <c r="H181"/>
  <c r="H180"/>
  <c r="H179"/>
  <c r="H178"/>
  <c r="G177"/>
  <c r="F177"/>
  <c r="L183" s="1"/>
  <c r="E177"/>
  <c r="H175"/>
  <c r="G174"/>
  <c r="G173" s="1"/>
  <c r="F174"/>
  <c r="F173" s="1"/>
  <c r="E174"/>
  <c r="E173" s="1"/>
  <c r="H172"/>
  <c r="F171"/>
  <c r="F170" s="1"/>
  <c r="E171"/>
  <c r="E170" s="1"/>
  <c r="G170"/>
  <c r="H169"/>
  <c r="H168"/>
  <c r="H167"/>
  <c r="H166"/>
  <c r="H165"/>
  <c r="H164"/>
  <c r="H163"/>
  <c r="H162"/>
  <c r="H161"/>
  <c r="H160"/>
  <c r="G159"/>
  <c r="G158" s="1"/>
  <c r="F159"/>
  <c r="F158" s="1"/>
  <c r="E159"/>
  <c r="E158" s="1"/>
  <c r="H157"/>
  <c r="G156"/>
  <c r="F156"/>
  <c r="E156"/>
  <c r="H155"/>
  <c r="H154"/>
  <c r="H153"/>
  <c r="H152"/>
  <c r="H151"/>
  <c r="H150"/>
  <c r="H149"/>
  <c r="H148"/>
  <c r="H147"/>
  <c r="H146"/>
  <c r="H145"/>
  <c r="H144"/>
  <c r="G143"/>
  <c r="F143"/>
  <c r="E143"/>
  <c r="H142"/>
  <c r="H141"/>
  <c r="G140"/>
  <c r="G139" s="1"/>
  <c r="F140"/>
  <c r="E140"/>
  <c r="H138"/>
  <c r="G137"/>
  <c r="G136" s="1"/>
  <c r="F137"/>
  <c r="F136" s="1"/>
  <c r="E137"/>
  <c r="E136" s="1"/>
  <c r="H135"/>
  <c r="H134"/>
  <c r="H133"/>
  <c r="H132"/>
  <c r="H131"/>
  <c r="H130"/>
  <c r="H129"/>
  <c r="H128"/>
  <c r="G127"/>
  <c r="F127"/>
  <c r="E127"/>
  <c r="H126"/>
  <c r="H125"/>
  <c r="H124"/>
  <c r="F123"/>
  <c r="E123"/>
  <c r="G122"/>
  <c r="H121"/>
  <c r="H120"/>
  <c r="H119"/>
  <c r="H118"/>
  <c r="H117"/>
  <c r="G116"/>
  <c r="F116"/>
  <c r="E116"/>
  <c r="H115"/>
  <c r="H114"/>
  <c r="H112"/>
  <c r="G111"/>
  <c r="F111"/>
  <c r="E111"/>
  <c r="H110"/>
  <c r="L109"/>
  <c r="K109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L90"/>
  <c r="H90"/>
  <c r="L89"/>
  <c r="K89"/>
  <c r="H89"/>
  <c r="H88"/>
  <c r="H87"/>
  <c r="G86"/>
  <c r="F86"/>
  <c r="E86"/>
  <c r="H85"/>
  <c r="H84"/>
  <c r="H83"/>
  <c r="H82"/>
  <c r="H81"/>
  <c r="H80"/>
  <c r="H79"/>
  <c r="G78"/>
  <c r="F78"/>
  <c r="E78"/>
  <c r="H77"/>
  <c r="H76"/>
  <c r="H75"/>
  <c r="H74"/>
  <c r="H73"/>
  <c r="H72"/>
  <c r="H71"/>
  <c r="H70"/>
  <c r="G69"/>
  <c r="F69"/>
  <c r="E69"/>
  <c r="H67"/>
  <c r="G66"/>
  <c r="F66"/>
  <c r="E66"/>
  <c r="H65"/>
  <c r="H64"/>
  <c r="G63"/>
  <c r="F63"/>
  <c r="E63"/>
  <c r="H61"/>
  <c r="H60"/>
  <c r="G59"/>
  <c r="F59"/>
  <c r="E59"/>
  <c r="H58"/>
  <c r="H57"/>
  <c r="H55"/>
  <c r="H54"/>
  <c r="H53"/>
  <c r="H52"/>
  <c r="H51"/>
  <c r="L50"/>
  <c r="I50"/>
  <c r="H50"/>
  <c r="G49"/>
  <c r="F49"/>
  <c r="E49"/>
  <c r="H48"/>
  <c r="H47" s="1"/>
  <c r="G47"/>
  <c r="G46" s="1"/>
  <c r="F47"/>
  <c r="E47"/>
  <c r="G44"/>
  <c r="G43" s="1"/>
  <c r="F44"/>
  <c r="F43" s="1"/>
  <c r="E44"/>
  <c r="E43" s="1"/>
  <c r="H42"/>
  <c r="H41"/>
  <c r="H40"/>
  <c r="H39"/>
  <c r="G38"/>
  <c r="F38"/>
  <c r="E38"/>
  <c r="H37"/>
  <c r="H36"/>
  <c r="G35"/>
  <c r="G34" s="1"/>
  <c r="F35"/>
  <c r="E35"/>
  <c r="E34" s="1"/>
  <c r="H33"/>
  <c r="H32"/>
  <c r="G31"/>
  <c r="G30" s="1"/>
  <c r="F31"/>
  <c r="F30" s="1"/>
  <c r="E31"/>
  <c r="E30" s="1"/>
  <c r="H29"/>
  <c r="H28"/>
  <c r="H27"/>
  <c r="H26"/>
  <c r="H25"/>
  <c r="H24"/>
  <c r="H23"/>
  <c r="G22"/>
  <c r="F22"/>
  <c r="E22"/>
  <c r="H21"/>
  <c r="G20"/>
  <c r="F20"/>
  <c r="E20"/>
  <c r="H19"/>
  <c r="G18"/>
  <c r="F18"/>
  <c r="E18"/>
  <c r="H17"/>
  <c r="H16"/>
  <c r="H15"/>
  <c r="G14"/>
  <c r="F14"/>
  <c r="E14"/>
  <c r="G25" i="17"/>
  <c r="C24"/>
  <c r="G23"/>
  <c r="G22"/>
  <c r="G21"/>
  <c r="G20"/>
  <c r="G19"/>
  <c r="G18"/>
  <c r="G17"/>
  <c r="G15"/>
  <c r="G14"/>
  <c r="G13"/>
  <c r="G12"/>
  <c r="G11"/>
  <c r="G10"/>
  <c r="G9"/>
  <c r="G8"/>
  <c r="G7"/>
  <c r="G6"/>
  <c r="E593" i="1"/>
  <c r="E592" s="1"/>
  <c r="G592" s="1"/>
  <c r="F585"/>
  <c r="F584" s="1"/>
  <c r="E585"/>
  <c r="E584" s="1"/>
  <c r="F583"/>
  <c r="F582" s="1"/>
  <c r="E583"/>
  <c r="E582" s="1"/>
  <c r="F580"/>
  <c r="F579" s="1"/>
  <c r="E580"/>
  <c r="E579" s="1"/>
  <c r="E139" i="23" l="1"/>
  <c r="F122"/>
  <c r="G13"/>
  <c r="E62"/>
  <c r="E488"/>
  <c r="H488" s="1"/>
  <c r="F34"/>
  <c r="H34" s="1"/>
  <c r="F139"/>
  <c r="H14"/>
  <c r="F325"/>
  <c r="L327" s="1"/>
  <c r="F419"/>
  <c r="F440"/>
  <c r="F62"/>
  <c r="E122"/>
  <c r="H122" s="1"/>
  <c r="E176"/>
  <c r="F46"/>
  <c r="E46"/>
  <c r="G325"/>
  <c r="F13"/>
  <c r="E68"/>
  <c r="F300"/>
  <c r="E419"/>
  <c r="H419" s="1"/>
  <c r="E474"/>
  <c r="G474"/>
  <c r="E325"/>
  <c r="G419"/>
  <c r="F474"/>
  <c r="L477" s="1"/>
  <c r="H477" s="1"/>
  <c r="E13"/>
  <c r="H13" s="1"/>
  <c r="F68"/>
  <c r="G68"/>
  <c r="E300"/>
  <c r="G488"/>
  <c r="G176"/>
  <c r="G440"/>
  <c r="E440"/>
  <c r="F176"/>
  <c r="H49"/>
  <c r="H212"/>
  <c r="H260"/>
  <c r="H278"/>
  <c r="H292"/>
  <c r="H353"/>
  <c r="G560"/>
  <c r="E578" i="1"/>
  <c r="E604" s="1"/>
  <c r="F578"/>
  <c r="G580"/>
  <c r="G583"/>
  <c r="G585"/>
  <c r="G24" i="17"/>
  <c r="G579" i="1"/>
  <c r="G582"/>
  <c r="G584"/>
  <c r="G593"/>
  <c r="H18" i="23"/>
  <c r="H20"/>
  <c r="H22"/>
  <c r="H30"/>
  <c r="H31"/>
  <c r="H35"/>
  <c r="H38"/>
  <c r="H43"/>
  <c r="J50"/>
  <c r="H59"/>
  <c r="H62"/>
  <c r="H63"/>
  <c r="H66"/>
  <c r="H69"/>
  <c r="H78"/>
  <c r="H86"/>
  <c r="M89"/>
  <c r="M109"/>
  <c r="H111"/>
  <c r="H116"/>
  <c r="H123"/>
  <c r="H127"/>
  <c r="H136"/>
  <c r="H137"/>
  <c r="H139"/>
  <c r="H140"/>
  <c r="H143"/>
  <c r="H156"/>
  <c r="H158"/>
  <c r="H159"/>
  <c r="H170"/>
  <c r="H171"/>
  <c r="H173"/>
  <c r="H174"/>
  <c r="H177"/>
  <c r="L184"/>
  <c r="H201"/>
  <c r="L203"/>
  <c r="L214"/>
  <c r="L219"/>
  <c r="H237"/>
  <c r="L243"/>
  <c r="L264"/>
  <c r="L267"/>
  <c r="H275"/>
  <c r="L281"/>
  <c r="L290"/>
  <c r="L297"/>
  <c r="K301"/>
  <c r="H301" s="1"/>
  <c r="H306"/>
  <c r="H310"/>
  <c r="H323"/>
  <c r="H326"/>
  <c r="H328"/>
  <c r="H330"/>
  <c r="M331"/>
  <c r="L335"/>
  <c r="H346"/>
  <c r="H348"/>
  <c r="H351"/>
  <c r="L355"/>
  <c r="H397"/>
  <c r="H407"/>
  <c r="H409"/>
  <c r="H416"/>
  <c r="H417"/>
  <c r="H420"/>
  <c r="L422"/>
  <c r="H435"/>
  <c r="H437"/>
  <c r="J438"/>
  <c r="H440"/>
  <c r="H441"/>
  <c r="L442"/>
  <c r="H447"/>
  <c r="H450"/>
  <c r="H453"/>
  <c r="H456"/>
  <c r="H458"/>
  <c r="H463"/>
  <c r="H474"/>
  <c r="L480"/>
  <c r="H484"/>
  <c r="H486"/>
  <c r="H489"/>
  <c r="H491"/>
  <c r="H497"/>
  <c r="G553"/>
  <c r="G555"/>
  <c r="G556"/>
  <c r="G557"/>
  <c r="G558"/>
  <c r="G558" i="1"/>
  <c r="F556"/>
  <c r="E556"/>
  <c r="M584" s="1"/>
  <c r="F555"/>
  <c r="G531"/>
  <c r="G528" s="1"/>
  <c r="F531"/>
  <c r="G529"/>
  <c r="F529"/>
  <c r="E529"/>
  <c r="G526"/>
  <c r="F526"/>
  <c r="E526"/>
  <c r="G524"/>
  <c r="F524"/>
  <c r="E524"/>
  <c r="K521"/>
  <c r="J521"/>
  <c r="G510"/>
  <c r="F510"/>
  <c r="E510"/>
  <c r="G497"/>
  <c r="F497"/>
  <c r="M498" s="1"/>
  <c r="G492"/>
  <c r="F492"/>
  <c r="G490"/>
  <c r="F490"/>
  <c r="E490"/>
  <c r="G483"/>
  <c r="F483"/>
  <c r="E483"/>
  <c r="G480"/>
  <c r="F480"/>
  <c r="E480"/>
  <c r="G474"/>
  <c r="M475"/>
  <c r="J470"/>
  <c r="G466"/>
  <c r="F466"/>
  <c r="F450" s="1"/>
  <c r="E466"/>
  <c r="E450" s="1"/>
  <c r="M454"/>
  <c r="M455" s="1"/>
  <c r="L454"/>
  <c r="G448"/>
  <c r="F448"/>
  <c r="F447" s="1"/>
  <c r="E448"/>
  <c r="E447" s="1"/>
  <c r="M428"/>
  <c r="L428"/>
  <c r="M389"/>
  <c r="L389"/>
  <c r="G378"/>
  <c r="F378"/>
  <c r="E378"/>
  <c r="G375"/>
  <c r="F375"/>
  <c r="E375"/>
  <c r="G373"/>
  <c r="F373"/>
  <c r="E373"/>
  <c r="M360"/>
  <c r="L360"/>
  <c r="G354"/>
  <c r="F354"/>
  <c r="E354"/>
  <c r="G352"/>
  <c r="F352"/>
  <c r="E352"/>
  <c r="G325"/>
  <c r="F325"/>
  <c r="F324" s="1"/>
  <c r="M325" s="1"/>
  <c r="F319"/>
  <c r="L310"/>
  <c r="M293"/>
  <c r="L293"/>
  <c r="M267"/>
  <c r="L267"/>
  <c r="M235"/>
  <c r="L235"/>
  <c r="G205"/>
  <c r="F205"/>
  <c r="F204" s="1"/>
  <c r="E205"/>
  <c r="E204" s="1"/>
  <c r="M164"/>
  <c r="L164"/>
  <c r="G153"/>
  <c r="F153"/>
  <c r="F152" s="1"/>
  <c r="E153"/>
  <c r="E152" s="1"/>
  <c r="M77"/>
  <c r="G71"/>
  <c r="G66" s="1"/>
  <c r="F71"/>
  <c r="E71"/>
  <c r="E67"/>
  <c r="G63"/>
  <c r="F63"/>
  <c r="E63"/>
  <c r="J54"/>
  <c r="K54"/>
  <c r="M58"/>
  <c r="G50"/>
  <c r="F50"/>
  <c r="E50"/>
  <c r="G47"/>
  <c r="F47"/>
  <c r="E47"/>
  <c r="G38"/>
  <c r="F38"/>
  <c r="E38"/>
  <c r="E35" s="1"/>
  <c r="G32"/>
  <c r="F32"/>
  <c r="F31" s="1"/>
  <c r="G19"/>
  <c r="F19"/>
  <c r="E19"/>
  <c r="G17"/>
  <c r="F17"/>
  <c r="E17"/>
  <c r="H176" i="23" l="1"/>
  <c r="H300"/>
  <c r="H46"/>
  <c r="H45" s="1"/>
  <c r="H44" s="1"/>
  <c r="E509" i="1"/>
  <c r="I378"/>
  <c r="H68" i="23"/>
  <c r="H325"/>
  <c r="G49" i="1"/>
  <c r="I49" s="1"/>
  <c r="N584"/>
  <c r="N585" s="1"/>
  <c r="E66"/>
  <c r="E11"/>
  <c r="E473"/>
  <c r="I483"/>
  <c r="L177" i="23"/>
  <c r="E351" i="1"/>
  <c r="L351" s="1"/>
  <c r="G473"/>
  <c r="F509"/>
  <c r="M510" s="1"/>
  <c r="G35"/>
  <c r="I38"/>
  <c r="G152"/>
  <c r="I152" s="1"/>
  <c r="I153"/>
  <c r="G204"/>
  <c r="G324"/>
  <c r="I324" s="1"/>
  <c r="I325"/>
  <c r="G447"/>
  <c r="I447" s="1"/>
  <c r="I448"/>
  <c r="G450"/>
  <c r="I450" s="1"/>
  <c r="I466"/>
  <c r="G509"/>
  <c r="I524"/>
  <c r="I19"/>
  <c r="I47"/>
  <c r="I50"/>
  <c r="I63"/>
  <c r="I354"/>
  <c r="I480"/>
  <c r="I490"/>
  <c r="I492"/>
  <c r="I497"/>
  <c r="I510"/>
  <c r="I526"/>
  <c r="I529"/>
  <c r="F528"/>
  <c r="I528" s="1"/>
  <c r="I531"/>
  <c r="I474"/>
  <c r="G31"/>
  <c r="I31" s="1"/>
  <c r="I32"/>
  <c r="G11"/>
  <c r="I17"/>
  <c r="F66"/>
  <c r="I66" s="1"/>
  <c r="I71"/>
  <c r="G351"/>
  <c r="I375"/>
  <c r="I373"/>
  <c r="F351"/>
  <c r="I352"/>
  <c r="F207"/>
  <c r="I207" s="1"/>
  <c r="I319"/>
  <c r="E545"/>
  <c r="F35"/>
  <c r="F11"/>
  <c r="L11" s="1"/>
  <c r="F473"/>
  <c r="L37"/>
  <c r="M310"/>
  <c r="N310" s="1"/>
  <c r="M306"/>
  <c r="M516"/>
  <c r="L216"/>
  <c r="L222"/>
  <c r="M216"/>
  <c r="M212"/>
  <c r="M222"/>
  <c r="G578"/>
  <c r="F604"/>
  <c r="G604" s="1"/>
  <c r="M585"/>
  <c r="L325"/>
  <c r="N325" s="1"/>
  <c r="L209"/>
  <c r="L210" s="1"/>
  <c r="N454"/>
  <c r="N164"/>
  <c r="N235"/>
  <c r="N267"/>
  <c r="N293"/>
  <c r="N360"/>
  <c r="N389"/>
  <c r="N428"/>
  <c r="K470"/>
  <c r="I11" l="1"/>
  <c r="E541"/>
  <c r="N216"/>
  <c r="M209"/>
  <c r="N209" s="1"/>
  <c r="M208"/>
  <c r="M536"/>
  <c r="I509"/>
  <c r="G541"/>
  <c r="L540" s="1"/>
  <c r="I473"/>
  <c r="M37"/>
  <c r="N37" s="1"/>
  <c r="I35"/>
  <c r="I351"/>
  <c r="M351"/>
  <c r="N351" s="1"/>
  <c r="N222"/>
  <c r="F46"/>
  <c r="F541" s="1"/>
  <c r="G547" s="1"/>
  <c r="E46"/>
  <c r="K510"/>
  <c r="J510"/>
  <c r="G46"/>
  <c r="I46" l="1"/>
  <c r="M548"/>
  <c r="M210"/>
  <c r="N210" s="1"/>
  <c r="G546"/>
  <c r="M12"/>
  <c r="H545"/>
  <c r="L546" s="1"/>
  <c r="M541"/>
  <c r="E500" i="23"/>
  <c r="E563" s="1"/>
  <c r="F500"/>
  <c r="H475"/>
  <c r="J475" s="1"/>
  <c r="I475"/>
  <c r="L336"/>
  <c r="M336" s="1"/>
  <c r="L54"/>
  <c r="K54"/>
  <c r="M54" s="1"/>
  <c r="G500"/>
  <c r="G570"/>
  <c r="H500" l="1"/>
  <c r="E572"/>
  <c r="E571"/>
  <c r="L178"/>
  <c r="F563"/>
  <c r="I541" i="1"/>
  <c r="M207"/>
  <c r="F560"/>
  <c r="F571" i="23" l="1"/>
  <c r="G571" s="1"/>
  <c r="F572"/>
  <c r="G572" s="1"/>
  <c r="G563"/>
  <c r="F572" i="1"/>
  <c r="E607"/>
  <c r="E560"/>
  <c r="E572" s="1"/>
  <c r="G560" l="1"/>
</calcChain>
</file>

<file path=xl/sharedStrings.xml><?xml version="1.0" encoding="utf-8"?>
<sst xmlns="http://schemas.openxmlformats.org/spreadsheetml/2006/main" count="2692" uniqueCount="779">
  <si>
    <t>Nazwa klasyfikacji budżetowej</t>
  </si>
  <si>
    <t>dział</t>
  </si>
  <si>
    <t>rozdz.</t>
  </si>
  <si>
    <t>par.</t>
  </si>
  <si>
    <t>1.</t>
  </si>
  <si>
    <t>2.</t>
  </si>
  <si>
    <t>3.</t>
  </si>
  <si>
    <t>4.</t>
  </si>
  <si>
    <t>5.</t>
  </si>
  <si>
    <t>O10</t>
  </si>
  <si>
    <t>O1010</t>
  </si>
  <si>
    <t>Zakup materiałów i wyposażenia</t>
  </si>
  <si>
    <t>O1022</t>
  </si>
  <si>
    <t>Zakup usług pozostałych</t>
  </si>
  <si>
    <t>O1030</t>
  </si>
  <si>
    <t>Izby rolnicze</t>
  </si>
  <si>
    <t>O1095</t>
  </si>
  <si>
    <t>Pozostała działalność</t>
  </si>
  <si>
    <t>Składki na fundusz pracy</t>
  </si>
  <si>
    <t>Dostarczanie wody</t>
  </si>
  <si>
    <t>Drogi publiczne gminne</t>
  </si>
  <si>
    <t>Zakup usług remontowych</t>
  </si>
  <si>
    <t>GOSPODARKA MIESZKANIOWA</t>
  </si>
  <si>
    <t>Zakłady gospodarki mieszkaniowej</t>
  </si>
  <si>
    <t>Zakup energii</t>
  </si>
  <si>
    <t>Podróże służbowe krajowe</t>
  </si>
  <si>
    <t>Różne opłaty i składki</t>
  </si>
  <si>
    <t>ADMINISTRACJA PUBLICZNA</t>
  </si>
  <si>
    <t>Urzędy wojewódzkie</t>
  </si>
  <si>
    <t>Wynagrodzenia osobowe</t>
  </si>
  <si>
    <t>Dodatkowe wynagrodz.roczne</t>
  </si>
  <si>
    <t>Rada gminy</t>
  </si>
  <si>
    <t>Urząd gminy</t>
  </si>
  <si>
    <t>Zakup usług dostępu do sieci Internet</t>
  </si>
  <si>
    <t>Wydatki na zakupy inwestycyjne jednostek budżetowych</t>
  </si>
  <si>
    <t>Pozostałe wydatki obronne</t>
  </si>
  <si>
    <t>Ochotnicze straże pożarne</t>
  </si>
  <si>
    <t>Zakup usług zdrowotnych</t>
  </si>
  <si>
    <t>Obrona cywilna</t>
  </si>
  <si>
    <t>OBSŁUGA DŁUGU PUBLICZNEGO</t>
  </si>
  <si>
    <t>RÓŻNE ROZLICZENIA</t>
  </si>
  <si>
    <t>Rezerwy ogólne i celowe</t>
  </si>
  <si>
    <t>Rezerwa</t>
  </si>
  <si>
    <t>OŚWIATA I WYCHOWANIE</t>
  </si>
  <si>
    <t>Szkoły podstawowe</t>
  </si>
  <si>
    <t>Składki na ubezpieczenia społeczne</t>
  </si>
  <si>
    <t>Dodatki mieszkaniowe</t>
  </si>
  <si>
    <t>Gimnazja</t>
  </si>
  <si>
    <t>OCHRONA ZDROWIA</t>
  </si>
  <si>
    <t>Lecznictwo ambulatoryjne</t>
  </si>
  <si>
    <t>Przeciwdziałanie alkoholizmowi</t>
  </si>
  <si>
    <t>Świadczenia społeczne</t>
  </si>
  <si>
    <t>Ośrodki pomocy społecznej</t>
  </si>
  <si>
    <t>Odpis na ZFŚS</t>
  </si>
  <si>
    <t>Usuwanie skutków klęsk żywiołowych</t>
  </si>
  <si>
    <t>EDUKACYJNA OPIEKA WYCHOW.</t>
  </si>
  <si>
    <t>Zakup uslug remontowych</t>
  </si>
  <si>
    <t>Gospodarka ściekowa i ochrona wód</t>
  </si>
  <si>
    <t>Oczyszczanie miast i wsi</t>
  </si>
  <si>
    <t>Utrzymanie zieleni w miastach i gminach</t>
  </si>
  <si>
    <t>Schroniska dla zwierząt</t>
  </si>
  <si>
    <t>Biblioteki</t>
  </si>
  <si>
    <t>R A Z E M :</t>
  </si>
  <si>
    <t>Klasyfik. budżetowa</t>
  </si>
  <si>
    <t>6.</t>
  </si>
  <si>
    <t>7.</t>
  </si>
  <si>
    <t>8.</t>
  </si>
  <si>
    <t>Procentowe wykonanie 6/5</t>
  </si>
  <si>
    <t xml:space="preserve">wynagrodzenia </t>
  </si>
  <si>
    <t>Dział</t>
  </si>
  <si>
    <t>Wyszczególnienie</t>
  </si>
  <si>
    <t xml:space="preserve">własne </t>
  </si>
  <si>
    <t>zlecone</t>
  </si>
  <si>
    <t>ROLNICTWO I ŁOWIECTWO</t>
  </si>
  <si>
    <t>WYTWARZANIE I ZAOPATRYWANIE W WODĘ</t>
  </si>
  <si>
    <t>TRANSPORT i ŁĄCZNOŚĆ</t>
  </si>
  <si>
    <t>URZĘDY NACZELNYCH ORGANÓW WŁADZY PAŃSTWOWEJ, KONTROLI I OCHRONY PRAWA ORAZ SĄDOWNICTWA</t>
  </si>
  <si>
    <t>DOCHODY OD OSÓB PRAWNYCH, OD OSÓB FIZYCZNYCH I OD INNYCH JEDNOSTEK NIE POSIADAJĄCYCH OSOBOWOŚCI PRAWNEJ ORAZ WYDATKI ZWIĄZANE Z ICH POBOREM</t>
  </si>
  <si>
    <t>OPIEKA SPOŁECZNA</t>
  </si>
  <si>
    <t>EDUKACYJNA OPIEKA WYCHOWAWCZA</t>
  </si>
  <si>
    <t>GOSPODARKA KOMUNALNA I OCHRONA ŚRODOWISKA</t>
  </si>
  <si>
    <t>KULTURA I OCHRONA DZIEDZICTWA NARODOWEGO</t>
  </si>
  <si>
    <t>KULTURA FIZYCZNAI SPORT</t>
  </si>
  <si>
    <t>WYDATKI OGÓŁEM:</t>
  </si>
  <si>
    <t>w tym majątkowe</t>
  </si>
  <si>
    <t xml:space="preserve">                                    z tego zadania </t>
  </si>
  <si>
    <t>WYSZCZEGÓLNIENIE</t>
  </si>
  <si>
    <t>PLAN</t>
  </si>
  <si>
    <t>WYKONANIE</t>
  </si>
  <si>
    <t>LP</t>
  </si>
  <si>
    <t xml:space="preserve">Wydatki majątkowe </t>
  </si>
  <si>
    <t>w tym:</t>
  </si>
  <si>
    <t>inwestycyjne</t>
  </si>
  <si>
    <t>1.1</t>
  </si>
  <si>
    <t>1.2</t>
  </si>
  <si>
    <t>z tego:</t>
  </si>
  <si>
    <t>2.1</t>
  </si>
  <si>
    <t>2.1.1</t>
  </si>
  <si>
    <t>2.2</t>
  </si>
  <si>
    <t>2.3</t>
  </si>
  <si>
    <t>2.4</t>
  </si>
  <si>
    <t>wydatki na obsługę długu</t>
  </si>
  <si>
    <t>2.5</t>
  </si>
  <si>
    <t>pozostałe wydatki bieżące</t>
  </si>
  <si>
    <t>% wykonanie</t>
  </si>
  <si>
    <t>WYDATKI OGÓŁEM</t>
  </si>
  <si>
    <t>Wydatki bieżące (suma 2.1 + 2.2 + 2.3 + 2.4 + 2.5)</t>
  </si>
  <si>
    <t>pochodne od wynagrodzeń</t>
  </si>
  <si>
    <t>2.6</t>
  </si>
  <si>
    <t>DOTACJE OGÓŁEM</t>
  </si>
  <si>
    <t>3.2</t>
  </si>
  <si>
    <t>4.1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</si>
  <si>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</si>
  <si>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</si>
  <si>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</si>
  <si>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</si>
  <si>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</si>
  <si>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</si>
  <si>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</si>
  <si>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</si>
  <si>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</si>
  <si>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Stryjnowski Klub Sportowy JUNAK</t>
  </si>
  <si>
    <t>Polski Związek Wędkarski</t>
  </si>
  <si>
    <t>Dotacje przedmiotowe:</t>
  </si>
  <si>
    <t>Dotacje podmiotowe:</t>
  </si>
  <si>
    <t>Gminny Ośrodkek Upowszechniania Kultury w Wińsku (dz.921)</t>
  </si>
  <si>
    <t xml:space="preserve">Stowarzyszenie Piłki Nożnej LZS KOMETA  </t>
  </si>
  <si>
    <t>Wynagrodz.bezosob-um-zlec.</t>
  </si>
  <si>
    <t>Wyd. osobowe niezalicz.do wynagrodz.</t>
  </si>
  <si>
    <t>Zakupy inwestycyjne</t>
  </si>
  <si>
    <t>Gospodarka odpadami</t>
  </si>
  <si>
    <t>Obiekty sportowe</t>
  </si>
  <si>
    <t>wydatki osobowe nie zaliczone do wynagrodzeń oraz  różne wyd.na rzecz osób fizycznych( 3020, 3030)</t>
  </si>
  <si>
    <t>4.2</t>
  </si>
  <si>
    <t>4.3</t>
  </si>
  <si>
    <t>Dotacje celowe -dofinansowanie zadań zleconych stowarzyszeniom w zakresie kultury fizycznej i sportu</t>
  </si>
  <si>
    <t>Stowarzyszenie na Rzecz Pomocy Publicznemu Gminanzjim</t>
  </si>
  <si>
    <t>Drogi publiczne powiatowe</t>
  </si>
  <si>
    <t>Podróże służbowe zagraniczne</t>
  </si>
  <si>
    <t>Zakład Gospodarki Komunalnej i Mieszkaniowej w Wińsku (dofinansowanie do zakupu środków trwałych)</t>
  </si>
  <si>
    <t xml:space="preserve">Zakład Gospodarki Komunalnej i Mieszkaniowej w Wińsku (dz.400,700,900)na wydatki biezące do usług komunalnych </t>
  </si>
  <si>
    <t>Stowarzyszenie Klub Piłkarski VIKTORIA Orzeszków</t>
  </si>
  <si>
    <t>Klub Piłkarski VIKTORIA  Przyborów</t>
  </si>
  <si>
    <t xml:space="preserve">Klub Sportowy Pogoń Wińsko </t>
  </si>
  <si>
    <t>FC KORONA Rajczyn</t>
  </si>
  <si>
    <t>Stołówki szkolne</t>
  </si>
  <si>
    <t xml:space="preserve">Pozostałe zadania w zakresie polityki społecznej </t>
  </si>
  <si>
    <t>BEZPIECZEŃSTWO PUBLICZNE I OCHRONA PRZECIWPOŻAROWA</t>
  </si>
  <si>
    <t>KS Zryw Głębowice</t>
  </si>
  <si>
    <t>Starostwo Powiatowe w Wołowie (współfinansowanie zad.inwestycyjnych w zakresie: budowy chodników 20 000zł, przybudowy drogi 100 000,-zł )</t>
  </si>
  <si>
    <t xml:space="preserve">Komenda Wojewódzka Policji dofinansowanie zakupu komputerów </t>
  </si>
  <si>
    <t>1.1.1</t>
  </si>
  <si>
    <t>1.1.2</t>
  </si>
  <si>
    <t>majątkowe</t>
  </si>
  <si>
    <t>1.2.1</t>
  </si>
  <si>
    <t xml:space="preserve">Wniesienie udziałów do spółki medycznej </t>
  </si>
  <si>
    <t>1.1.3</t>
  </si>
  <si>
    <t>z tym: dotacje na współfinansowanie realizacji inwestycji</t>
  </si>
  <si>
    <t>Rolnictwo i łowiectwo</t>
  </si>
  <si>
    <t>Infrastruktura wodociągowa i sanitacyjna wsi</t>
  </si>
  <si>
    <t>Wydatki inwestycyjne jednostek budżetowych</t>
  </si>
  <si>
    <t>Zwalczanie chorób zakaźnych zwierząt oraz badania monitoringowe pozostałości chemicznych i biologicznych w tkankach zwierząt i produktach pochodzenia zwierzęcego</t>
  </si>
  <si>
    <t>Wpłaty gmin na rzecz izb rolniczych w wysokości 2% uzyskanych wpływów z podatku rolnego</t>
  </si>
  <si>
    <t>Składki na Fundusz Pracy</t>
  </si>
  <si>
    <t>Wynagrodzenia bezosobowe</t>
  </si>
  <si>
    <t>Dotacja przedmiotowa z budżetu dla zakładu budżetowego</t>
  </si>
  <si>
    <t>Dotacje celowe przekazane dla powiatu na zadania bieżące realizowane na podstawie porozumień (umów) między jednostkami samorządu terytorialnego</t>
  </si>
  <si>
    <t>Dotacja celowa na pomoc finansową udzielaną między jednostkami samorządu terytorialnego na dofinansowanie własnych zadań inwestycyjnych i zakupów inwestycyjnych</t>
  </si>
  <si>
    <t>2320</t>
  </si>
  <si>
    <t>6300</t>
  </si>
  <si>
    <t>4110</t>
  </si>
  <si>
    <t>4120</t>
  </si>
  <si>
    <t>4170</t>
  </si>
  <si>
    <t>4210</t>
  </si>
  <si>
    <t>4300</t>
  </si>
  <si>
    <t>4410</t>
  </si>
  <si>
    <t>4430</t>
  </si>
  <si>
    <t>2850</t>
  </si>
  <si>
    <t>2650</t>
  </si>
  <si>
    <t>4270</t>
  </si>
  <si>
    <t>6050</t>
  </si>
  <si>
    <t>4260</t>
  </si>
  <si>
    <t>6060</t>
  </si>
  <si>
    <t>Administracja publiczna</t>
  </si>
  <si>
    <t>Wynagrodzenia osobowe pracowników</t>
  </si>
  <si>
    <t>Dodatkowe wynagrodzenie roczne</t>
  </si>
  <si>
    <t>Zakup akcesoriów komputerowych, w tym programów i licencji</t>
  </si>
  <si>
    <t xml:space="preserve">Różne wydatki na rzecz osób fizycznych </t>
  </si>
  <si>
    <t>Opłaty z tytułu zakupu usług telekomunikacyjnych telefonii komórkowej</t>
  </si>
  <si>
    <t xml:space="preserve">Szkolenia pracowników niebędących członkami korpusu służby cywilnej </t>
  </si>
  <si>
    <t>Zakup materiałów papierniczych do sprzętu drukarskiego i urządzeń kserograficznych</t>
  </si>
  <si>
    <t>3030</t>
  </si>
  <si>
    <t>4360</t>
  </si>
  <si>
    <t>4700</t>
  </si>
  <si>
    <t>4740</t>
  </si>
  <si>
    <t>3020</t>
  </si>
  <si>
    <t>Wydatki osobowe niezaliczone do wynagrodzeń</t>
  </si>
  <si>
    <t>4010</t>
  </si>
  <si>
    <t>4040</t>
  </si>
  <si>
    <t>4140</t>
  </si>
  <si>
    <t>Wpłaty na Państwowy Fundusz Rehabilitacji Osób Niepełnosprawnych</t>
  </si>
  <si>
    <t>4280</t>
  </si>
  <si>
    <t>4350</t>
  </si>
  <si>
    <t>4370</t>
  </si>
  <si>
    <t>Opłata z tytułu zakupu usług telekomunikacyjnych telefonii stacjinarnej</t>
  </si>
  <si>
    <t>4420</t>
  </si>
  <si>
    <t>4440</t>
  </si>
  <si>
    <t>Odpisy na zakładowy fundusz świadczeń socjalnych</t>
  </si>
  <si>
    <t>4750</t>
  </si>
  <si>
    <t>Promocja jednostek samorządu terytorialnego</t>
  </si>
  <si>
    <t>2900</t>
  </si>
  <si>
    <t>Wpłaty gmin i powiatów na rzecz innych jednostek samorządu terytorialnego oraz związków gmin lub związków powiatów na dofinansowanie zadań bieżących</t>
  </si>
  <si>
    <t>Urzędy naczelnych organów władzy państwowej, kontroli i ochrony prawa oraz sądownictwa</t>
  </si>
  <si>
    <t>Urzędy naczelnych organów władzy państwowej, kontroli i ochrony prawa</t>
  </si>
  <si>
    <t>Obrona narodowa</t>
  </si>
  <si>
    <t>Bezpieczeństwo publiczne i ochrona przeciwpożarowa</t>
  </si>
  <si>
    <t>Komendy wojewódzkie Policji</t>
  </si>
  <si>
    <t>Dochody od osób prawnych, od osób fizycznych i od innych jednostek nieposiadających osobowości prawnej oraz wydatki związane z ich poborem</t>
  </si>
  <si>
    <t>Pobór podatków, opłat i niepodatkowych należności budżetowych</t>
  </si>
  <si>
    <t>4100</t>
  </si>
  <si>
    <t>Wynagrodzenia agencyjno-prowizyjne</t>
  </si>
  <si>
    <t>4610</t>
  </si>
  <si>
    <t>Koszty postępowania sądowego i prokuratorskiego</t>
  </si>
  <si>
    <t>Obsługa papierów wartościowych, kredytów i pożyczek jednostek samorządu terytorialnego</t>
  </si>
  <si>
    <t>Odsetki i dyskonto od skarbowych papierów wartościowych, kredytów i pożyczek oraz innych instrumentów finansowych, związanych z obsługą długu krajowego.</t>
  </si>
  <si>
    <t>Różne rozliczenia</t>
  </si>
  <si>
    <t>Oświata i wychowanie</t>
  </si>
  <si>
    <t>4240</t>
  </si>
  <si>
    <t>Zakup pomocy naukowych, dydaktycznych i książek</t>
  </si>
  <si>
    <t>Oddziały przedszkolne w szkołach podstawowych</t>
  </si>
  <si>
    <t xml:space="preserve">Przedszkola </t>
  </si>
  <si>
    <t>4118</t>
  </si>
  <si>
    <t>4119</t>
  </si>
  <si>
    <t>4128</t>
  </si>
  <si>
    <t>4129</t>
  </si>
  <si>
    <t>4178</t>
  </si>
  <si>
    <t>4179</t>
  </si>
  <si>
    <t>4218</t>
  </si>
  <si>
    <t>4219</t>
  </si>
  <si>
    <t>4248</t>
  </si>
  <si>
    <t>4308</t>
  </si>
  <si>
    <t>4309</t>
  </si>
  <si>
    <t>4418</t>
  </si>
  <si>
    <t>Dowożenie uczniów do szkół</t>
  </si>
  <si>
    <t>Dokształcanie i doskonalenie nauczycieli</t>
  </si>
  <si>
    <t>Ochrona zdrowia</t>
  </si>
  <si>
    <t>Zwalczanie narkomanii</t>
  </si>
  <si>
    <t>6010</t>
  </si>
  <si>
    <t>Wydatki na zakup i objęcie akcji, wniesienie wkładów do spółek prawa handlowego oraz na uzupełnienie funduszy statutowych banków państwowych i innych instytucji finansowych</t>
  </si>
  <si>
    <t>Pomoc społeczna</t>
  </si>
  <si>
    <t>Domy pomocy społecznej</t>
  </si>
  <si>
    <t>4330</t>
  </si>
  <si>
    <t>Zakup usług przez jednostki samorządu terytorialnego od innych jednostek samorządu terytorialnego</t>
  </si>
  <si>
    <t>Ośrodki wsparcia</t>
  </si>
  <si>
    <t>Świadczenia rodzinne, zaliczka alimentacyjna oraz składki na ubezpieczenia emerytalne i rentowe z ubezpieczenia społecznego</t>
  </si>
  <si>
    <t>3110</t>
  </si>
  <si>
    <t>Składki na ubezpieczenie zdrowotne opłacane za osoby pobierajace niektóre świadczenia z pomocy społecznej, niektóre świadczenia rodzinne oraz za osoby uczestniczące w zajęciach w centrum integracji społecznej.</t>
  </si>
  <si>
    <t>4130</t>
  </si>
  <si>
    <t>Składki na ubezpieczenie zdrowotne</t>
  </si>
  <si>
    <t>Zasiłki i pomoc w naturze oraz składki na ubezpieczenia emerytalne i rentowe</t>
  </si>
  <si>
    <t>3119</t>
  </si>
  <si>
    <t>4018</t>
  </si>
  <si>
    <t>4019</t>
  </si>
  <si>
    <t>4438</t>
  </si>
  <si>
    <t>4439</t>
  </si>
  <si>
    <t>Usługi opiekuńcze i specjalistyczne usługi opiekuńcze</t>
  </si>
  <si>
    <t>4173</t>
  </si>
  <si>
    <t>4303</t>
  </si>
  <si>
    <t>Świetlice szkolne</t>
  </si>
  <si>
    <t>Poradnie psychologiczno-pedagogiczne, w tym poradnie specjalistyczne</t>
  </si>
  <si>
    <t>Pomoc materialna dla uczniów</t>
  </si>
  <si>
    <t>3240</t>
  </si>
  <si>
    <t>Stypendia dla uczniów</t>
  </si>
  <si>
    <t>3260</t>
  </si>
  <si>
    <t>Inne formy pomocy dla uczniów</t>
  </si>
  <si>
    <t>Gospodarka komunalna i ochrona środowiska</t>
  </si>
  <si>
    <t>6210</t>
  </si>
  <si>
    <t>Dotacje celowe z budżetu na finansowanie lub dofinansowanie kosztów realizacji inwestycji i zakupów inwestycyjnych zakładów budżetowych</t>
  </si>
  <si>
    <t>Oświetlenie ulic, placów i dróg</t>
  </si>
  <si>
    <t>Kultura i ochrona dziedzictwa narodowego</t>
  </si>
  <si>
    <t>Domy i ośrodki kultury, świetlice i kluby</t>
  </si>
  <si>
    <t>2480</t>
  </si>
  <si>
    <t>Dotacja podmiotowa z budżetu dla samorządowej instytucji kultury</t>
  </si>
  <si>
    <t>Kultura fizyczna i sport</t>
  </si>
  <si>
    <t>Zadania w zakresie kultury fizycznej i sportu</t>
  </si>
  <si>
    <t>2820</t>
  </si>
  <si>
    <t>Dotacja celowa z budżetu na finansowanie lub dofinansowanie zadań zleconych do realizacji stowarzyszeniom</t>
  </si>
  <si>
    <t>Wytwarzanie i zaopatrywanie w energię elektryczną, gaz i wodę</t>
  </si>
  <si>
    <t>Transport i łączność</t>
  </si>
  <si>
    <t>Gospodarka mieszkaniowa</t>
  </si>
  <si>
    <t>Gospodarka gruntami i nieruchomościami</t>
  </si>
  <si>
    <t>Działalność usługowa</t>
  </si>
  <si>
    <t>Plany zagospodarowania przestrzennego</t>
  </si>
  <si>
    <t>Opracowania geodezyjne i kartograficzne</t>
  </si>
  <si>
    <t>Starostwo Powiatowe w Wołowie (współfinansowanie zad.biezących w zakresie remontu chodnika we wsi Smogorzów</t>
  </si>
  <si>
    <t>Starostwo Powiatowe w Wołowie (współfinansowanie zad.inwestycyjnych w zakresie: budowy drogi 100 000,-zł )</t>
  </si>
  <si>
    <t>dotacje na wydatki bieżące par.2320,2480,2650,2820)</t>
  </si>
  <si>
    <t>do sprawozdania z wykonania budżetu</t>
  </si>
  <si>
    <t>Załącznik nr 2</t>
  </si>
  <si>
    <t>Plan na 30.06.2009</t>
  </si>
  <si>
    <t>Wykonanie na 30.06.2009r.</t>
  </si>
  <si>
    <t xml:space="preserve">Zobowiązania na 30.06.2009 </t>
  </si>
  <si>
    <t>WYKONANIE BUDŻETU GMINY ZA  I PÓŁROCZE 2009 R</t>
  </si>
  <si>
    <t xml:space="preserve">Turystyka </t>
  </si>
  <si>
    <t xml:space="preserve">Zadania w zakresie upowszechniania turystyki </t>
  </si>
  <si>
    <t>4530</t>
  </si>
  <si>
    <t>Podatek od towarów i usług</t>
  </si>
  <si>
    <t xml:space="preserve">Wybory do Parlamentu Europejskiego </t>
  </si>
  <si>
    <t>3000</t>
  </si>
  <si>
    <t xml:space="preserve">Wpłaty jednostek na fundusz celowy </t>
  </si>
  <si>
    <t>4228</t>
  </si>
  <si>
    <t xml:space="preserve">Zakup środków żywności </t>
  </si>
  <si>
    <t>4278</t>
  </si>
  <si>
    <t>4368</t>
  </si>
  <si>
    <t>6059</t>
  </si>
  <si>
    <t>6058</t>
  </si>
  <si>
    <t>4138</t>
  </si>
  <si>
    <t>4139</t>
  </si>
  <si>
    <t xml:space="preserve">Składki na ubezpieczenia zdrowotne </t>
  </si>
  <si>
    <t>4408</t>
  </si>
  <si>
    <t>4409</t>
  </si>
  <si>
    <t>Opłaty za administrowanie i czynsze za budynki</t>
  </si>
  <si>
    <t>4580</t>
  </si>
  <si>
    <t xml:space="preserve">Pozostałe odsetki </t>
  </si>
  <si>
    <t>4748</t>
  </si>
  <si>
    <t>4749</t>
  </si>
  <si>
    <t>Pozostałe działania w zakresie kultury</t>
  </si>
  <si>
    <t>Dotacje celowe (na wydatki inwestycyjne)</t>
  </si>
  <si>
    <r>
      <t>w tym:</t>
    </r>
    <r>
      <rPr>
        <sz val="10"/>
        <rFont val="Calibri"/>
        <family val="2"/>
        <charset val="238"/>
        <scheme val="minor"/>
      </rPr>
      <t xml:space="preserve"> wynagrodzenia bezosobowe i agencyjno-prowizyjne </t>
    </r>
  </si>
  <si>
    <t xml:space="preserve">Dotacje celowe -dofinansowanie zadań zleconych stowarzyszeniom w zakresie upowszechniania turystyki </t>
  </si>
  <si>
    <t xml:space="preserve">Dotacje celowe -dofinansowanie zadań zleconych stowarzyszeniom w zakresie kultury </t>
  </si>
  <si>
    <t>5.10</t>
  </si>
  <si>
    <t>Ludowy Zespól Sportowy :Błękitni Wyszęcice"</t>
  </si>
  <si>
    <t xml:space="preserve">TURYSTYKA </t>
  </si>
  <si>
    <t xml:space="preserve">Gminy Wińsko zaI  półrocze 2009r. </t>
  </si>
  <si>
    <t xml:space="preserve">w zł. </t>
  </si>
  <si>
    <t>Wydatki ogółem</t>
  </si>
  <si>
    <t>22 251 368</t>
  </si>
  <si>
    <t xml:space="preserve">3 255 705 </t>
  </si>
  <si>
    <t>z tego :</t>
  </si>
  <si>
    <t>-  dotacje dla zakładów budżetowych</t>
  </si>
  <si>
    <t>-  pozostałe dotacje</t>
  </si>
  <si>
    <t>Wydatki bieżące</t>
  </si>
  <si>
    <t>18 995 663</t>
  </si>
  <si>
    <t>-  wynagrodzenia ogółem</t>
  </si>
  <si>
    <t xml:space="preserve">    w tym : bezosobowe i agencyjno -prowizyjne</t>
  </si>
  <si>
    <t>-  pochodne od wynagrodzeń</t>
  </si>
  <si>
    <t>- dotacje dla stowarzyszeń kultury fizycznej</t>
  </si>
  <si>
    <t>- dotacje dla samorządowych instytucji kultury</t>
  </si>
  <si>
    <t>- pozostałe dotacje</t>
  </si>
  <si>
    <t>- wydatki na obsługę długu</t>
  </si>
  <si>
    <t>- pozostałe wydatki</t>
  </si>
  <si>
    <t>9 682 781</t>
  </si>
  <si>
    <t>6170</t>
  </si>
  <si>
    <t xml:space="preserve">Wpłaty jednostek na fundusz celowy na finansowanie lub dofinansowanie zadań inwestycyjnych </t>
  </si>
  <si>
    <t>inwestycyjne w tym:</t>
  </si>
  <si>
    <t xml:space="preserve">Rozliczenia z bankami związane z obsługą bankową </t>
  </si>
  <si>
    <t>Rozliczenia z tytułu poręczeń i gwarancji udzielonych przez JST</t>
  </si>
  <si>
    <t xml:space="preserve">Wpłaty z tytułu poręczeń i gwarancji </t>
  </si>
  <si>
    <t>zob.inwest.438942</t>
  </si>
  <si>
    <t xml:space="preserve">plan </t>
  </si>
  <si>
    <t xml:space="preserve">wykonanie </t>
  </si>
  <si>
    <t xml:space="preserve">Stowarzyszenie Piłki Nożnej LZS KOMETA  Krzelów </t>
  </si>
  <si>
    <t>Dotacje celowe -dofinansowanie zadań zleconych w zakresie kultury fizycznej i sportu</t>
  </si>
  <si>
    <t xml:space="preserve">Starostwo Powiatowe w Wołowie </t>
  </si>
  <si>
    <t>Wydatki bieżące (suma 2.1+2.2+2.3+2.4+2.5+2.6)</t>
  </si>
  <si>
    <t>I.</t>
  </si>
  <si>
    <t>II.</t>
  </si>
  <si>
    <t>III.</t>
  </si>
  <si>
    <t>IV.</t>
  </si>
  <si>
    <t>V.</t>
  </si>
  <si>
    <t>VI.</t>
  </si>
  <si>
    <t>VII</t>
  </si>
  <si>
    <t>Realizacja zadań pozabudżetowych……………………………………………..</t>
  </si>
  <si>
    <t xml:space="preserve">Przychody i wydatki funduszu celowego…………………………………….. </t>
  </si>
  <si>
    <t>Wykonanie dochodów własnych jednostek budżetowych…………</t>
  </si>
  <si>
    <t>Wykonanie wydatków w ramach inicjatyw lokalnych…………………</t>
  </si>
  <si>
    <t>Wydatki budżetowe …………………………………………………………………….</t>
  </si>
  <si>
    <t xml:space="preserve">Dotacje celowe na realizację zadań inwestycyjnych…………………... </t>
  </si>
  <si>
    <t>Dotacje celowe……………………………………………………………………………..</t>
  </si>
  <si>
    <t>Subwencja ogólna…………………………………………………………………………</t>
  </si>
  <si>
    <t>Zaległości w dochodach z majątku gminy…………………………………….</t>
  </si>
  <si>
    <t>Dochody własne z majątku gminy………………………………………………..</t>
  </si>
  <si>
    <t>Wpływy z pomocy finansowej ……………………………………………………..</t>
  </si>
  <si>
    <t>Pozostałe dochody własne…………………………………………………………..</t>
  </si>
  <si>
    <t>Ulgi oraz zwolnienia w podatkach i opłatach lokalnych……………….</t>
  </si>
  <si>
    <t xml:space="preserve">Zaległości w podatkach i opłatach lokalnych………………………………. </t>
  </si>
  <si>
    <t>Dochody własne z podatków i opłat lokalnych…………………………….</t>
  </si>
  <si>
    <t xml:space="preserve">Dochody budżetowe……………………………………………………………………. </t>
  </si>
  <si>
    <t xml:space="preserve">Budżet gminy……………………………………………………………………………….. </t>
  </si>
  <si>
    <t>2910</t>
  </si>
  <si>
    <t>Zwrot dotacji oraz płatności, w tym  wykorzystanych niezgodnie z przeznaczeniem lub wykorzystanych z naruszeniem procedur, o których mowa w art. 184 ustawy, pobranych nienależnie lub w nadmiernej wysokości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</si>
  <si>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</si>
  <si>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</si>
  <si>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2710</t>
  </si>
  <si>
    <t>Dotacja celowa na pomoc finansową udzielaną między jednostkami samorządu terytorialnego na dofinansowanie własnych zadań bieżących</t>
  </si>
  <si>
    <t>Drogi publiczne wojewódzkie</t>
  </si>
  <si>
    <t>Cmentarze</t>
  </si>
  <si>
    <t>Opłaty z tytułu zakupu usług telekomunikacyjnych świadczonych w ruchomej publicznej sieci telefonicznej</t>
  </si>
  <si>
    <t>4220</t>
  </si>
  <si>
    <t>Zakup środków żywności</t>
  </si>
  <si>
    <t>8110</t>
  </si>
  <si>
    <t>Odsetki od samorządowych papierów wartościowych lub zaciągniętych przez jednostkę samorządu terytorialnego kredytów i pożyczek</t>
  </si>
  <si>
    <t>4017</t>
  </si>
  <si>
    <t>4117</t>
  </si>
  <si>
    <t>4127</t>
  </si>
  <si>
    <t>4177</t>
  </si>
  <si>
    <t>4217</t>
  </si>
  <si>
    <t>4227</t>
  </si>
  <si>
    <t>4307</t>
  </si>
  <si>
    <t>4367</t>
  </si>
  <si>
    <t>4417</t>
  </si>
  <si>
    <t>6057</t>
  </si>
  <si>
    <t>Opłata z tytułu zakupu usług telekomunikacyjnych świadczonych w stacjonarnej publicznej sieci telefonicznej.</t>
  </si>
  <si>
    <t>Zasiłki stałe</t>
  </si>
  <si>
    <t>4047</t>
  </si>
  <si>
    <t>4049</t>
  </si>
  <si>
    <t>4137</t>
  </si>
  <si>
    <t>4407</t>
  </si>
  <si>
    <t>Podatek od towarów i usług (VAT).</t>
  </si>
  <si>
    <t xml:space="preserve">Wybory na Prezydenta Rzeczypospolitej  </t>
  </si>
  <si>
    <t xml:space="preserve">Komenda Wojewódzka Policji dofinansowanie zakupu fotoradaru </t>
  </si>
  <si>
    <t>Starostwo Powiatowe w Wołowie (współfinansowanie zad.inwestycyjnych w zakresie: budowy drogi Iwno- Małowice</t>
  </si>
  <si>
    <t>2.1.1.</t>
  </si>
  <si>
    <t xml:space="preserve">dodatkowe wynagrodzenie roczne </t>
  </si>
  <si>
    <t>2.1.2</t>
  </si>
  <si>
    <t>.4017/8</t>
  </si>
  <si>
    <t xml:space="preserve">wynagrodzenia i składki od nich naliczanew ramach programów finansowanych z udziałem środków o których mowa w art..5 ust.1 pkt. 2i3 </t>
  </si>
  <si>
    <t>2.1.3</t>
  </si>
  <si>
    <t>atr.5 ust.1</t>
  </si>
  <si>
    <t>świadczenia społeczne  (3110)</t>
  </si>
  <si>
    <t>dotacje na wydatki bieżące par.2320,2480,2650,2710,2820)</t>
  </si>
  <si>
    <t>4.4</t>
  </si>
  <si>
    <t>Dotacje przedmiotowe (bieżące)</t>
  </si>
  <si>
    <t>Dotacje podmiotowe (bieżące)</t>
  </si>
  <si>
    <t>Dotacje celowe (inwestycyjne)</t>
  </si>
  <si>
    <t>Dotacje celowe (bieżące)</t>
  </si>
  <si>
    <t>2.2.</t>
  </si>
  <si>
    <t>3.1</t>
  </si>
  <si>
    <t xml:space="preserve">Starostwo Powiatowe w Wołowie dofinansowanie budowy drogi Iwno Małowce </t>
  </si>
  <si>
    <t xml:space="preserve">Wojewódzki zarząd dróg dofinansowanie remontu drogi Wińsko - Domanice </t>
  </si>
  <si>
    <t xml:space="preserve">Starostwo Powiatowe w Wołowie dofinansowanie do remontów chodników </t>
  </si>
  <si>
    <t xml:space="preserve">Gmina Wołów dofinansowanie obchodów "Dania Strażaka" </t>
  </si>
  <si>
    <t>DOTACJE DLA JEDNOSTEK SEKTORA FINANSÓW PUBLICZNYCH  w tym:</t>
  </si>
  <si>
    <t>DOTACJE DLA PODMIOTÓW NIENALEŻĄCYCH DO SEKTORA FINANSÓW PUBLICZNYCH w tym:</t>
  </si>
  <si>
    <t>1.1.</t>
  </si>
  <si>
    <t>1.3</t>
  </si>
  <si>
    <t>1.4</t>
  </si>
  <si>
    <t>1.5</t>
  </si>
  <si>
    <t>1.6</t>
  </si>
  <si>
    <t>1.7</t>
  </si>
  <si>
    <t>1.8</t>
  </si>
  <si>
    <t>1.9</t>
  </si>
  <si>
    <t>1.10</t>
  </si>
  <si>
    <t>Plan wydatki na  30.06.2010r.</t>
  </si>
  <si>
    <t>Wykonanie na 30.06.2010.</t>
  </si>
  <si>
    <t>Wydatki budżetu gminy Wińsko za I półrocze 2010r.  według działów klasyfikacji budżetowej</t>
  </si>
  <si>
    <t xml:space="preserve">Wykonanie % 4/3 </t>
  </si>
  <si>
    <t>Plan na 30.09.2010r.</t>
  </si>
  <si>
    <t>Planowane wykonanie na 31.12.2010r.</t>
  </si>
  <si>
    <t xml:space="preserve">Plan na 2011r. </t>
  </si>
  <si>
    <t xml:space="preserve">Spis powszechny </t>
  </si>
  <si>
    <t>3040</t>
  </si>
  <si>
    <t>Nagrody o charakterze szczególnym niezaliczone do wynagrodzeń</t>
  </si>
  <si>
    <t>Procentowe wykonanie 7/6</t>
  </si>
  <si>
    <t>wplywy ze zwrotów dotacji oraz płatności, w tym wykorzystanych niezgodnie z przeznaczeniem lub wykorzystanych z naruszeniem procedur.</t>
  </si>
  <si>
    <t>w złotych</t>
  </si>
  <si>
    <t>Lp.</t>
  </si>
  <si>
    <t>Rozdz.</t>
  </si>
  <si>
    <t>Nazwa zadania inwestycyjnego</t>
  </si>
  <si>
    <t>Łączne koszty finansowe</t>
  </si>
  <si>
    <t>Planowane wydatki</t>
  </si>
  <si>
    <t>Jednostka organizacyjna realizująca program lub koordynująca wykonanie programu</t>
  </si>
  <si>
    <t>z tego źródła finansowania</t>
  </si>
  <si>
    <t>dochody własne jst</t>
  </si>
  <si>
    <t>kredyty
i pożyczki</t>
  </si>
  <si>
    <t>środki wymienione
w art. 5 ust. 1 pkt 2 i 3 u.f.p.</t>
  </si>
  <si>
    <t>9.</t>
  </si>
  <si>
    <t>10.</t>
  </si>
  <si>
    <t>11.</t>
  </si>
  <si>
    <t>4449</t>
  </si>
  <si>
    <t xml:space="preserve">obligatoryjna rezerwa </t>
  </si>
  <si>
    <t xml:space="preserve">wynagrodzenia bezosobowe </t>
  </si>
  <si>
    <t>wynagrodzenia</t>
  </si>
  <si>
    <t>Rozdział</t>
  </si>
  <si>
    <t>Treść</t>
  </si>
  <si>
    <t>Kwota dotacji</t>
  </si>
  <si>
    <t>/ w zł/</t>
  </si>
  <si>
    <t>podmiotowej</t>
  </si>
  <si>
    <t>przedmiotowej</t>
  </si>
  <si>
    <t>celowej</t>
  </si>
  <si>
    <t>Jednostki sektora finansów publicznych</t>
  </si>
  <si>
    <t>Nazwa jednostki</t>
  </si>
  <si>
    <t xml:space="preserve">Zakład Gospodarki Komunalnej i Mieszkaniowej w Wińsku  </t>
  </si>
  <si>
    <t>Starostwo Powiatowe w Wołowie</t>
  </si>
  <si>
    <t xml:space="preserve">Podmioty nienależące do sektora finansów publicznych </t>
  </si>
  <si>
    <t>Razem dotacje inwestycyjne</t>
  </si>
  <si>
    <t xml:space="preserve">Ogółem dotacje bieżące </t>
  </si>
  <si>
    <t>Par.</t>
  </si>
  <si>
    <t>Ochrona gleby i wód podziemnych</t>
  </si>
  <si>
    <t>6230</t>
  </si>
  <si>
    <t>Dotacje celowe z budżetu na finansowanie lub dofinansowanie kosztów realizacji inwestycji i zakupów inwestycyjnych jednostek nie zaliczanych do sektora finansów publicznych</t>
  </si>
  <si>
    <t>Wydatki</t>
  </si>
  <si>
    <t>W odniesieniu do dochodów własnych jednostek budżetowych:</t>
  </si>
  <si>
    <t>**   stan środków pieniężnych</t>
  </si>
  <si>
    <t>*** źródła dochodów wskazanych przez Radę</t>
  </si>
  <si>
    <t>Dochody</t>
  </si>
  <si>
    <t>z tytułu zezwoleń na sprzedaż alkoholu</t>
  </si>
  <si>
    <t>Plan</t>
  </si>
  <si>
    <t>Gminny Program Profilaktyki i Rozwiązywania Problemów Alkoholowych</t>
  </si>
  <si>
    <t>Gminny Program Przeciwdziałania Narkomanii</t>
  </si>
  <si>
    <t>Parag.</t>
  </si>
  <si>
    <t xml:space="preserve">Paragraf </t>
  </si>
  <si>
    <t>Świadczenia rodzinne, świadczenia z funduszu alimentacyjneego oraz składki na ubezpieczenia emerytalne i rentowe z ubezpieczenia społecznego</t>
  </si>
  <si>
    <t>O980</t>
  </si>
  <si>
    <t>Usługi opiekuńcze</t>
  </si>
  <si>
    <t>O830</t>
  </si>
  <si>
    <t xml:space="preserve">Wpływy z usług </t>
  </si>
  <si>
    <t>OGÓŁEM</t>
  </si>
  <si>
    <t>Klasyfikacja
§</t>
  </si>
  <si>
    <t>Kwota</t>
  </si>
  <si>
    <t>1</t>
  </si>
  <si>
    <t>2</t>
  </si>
  <si>
    <t>3</t>
  </si>
  <si>
    <t>4</t>
  </si>
  <si>
    <t>Przychody ogółem:</t>
  </si>
  <si>
    <t>Przychody z zaciągniętych pożyczek i kredytów na rynku krajowym</t>
  </si>
  <si>
    <t>952</t>
  </si>
  <si>
    <t>Rozchody ogółem:</t>
  </si>
  <si>
    <t>Spłaty otrzymanych krajowych pożyczek i kredytów</t>
  </si>
  <si>
    <t>992</t>
  </si>
  <si>
    <t>Załącznik Nr 8</t>
  </si>
  <si>
    <t>Informacja o przewidywanym wykonaniu wydatków budżetu Gminy za rok poprzedzający rok budżetowy według stanu na koniec III kwartału 2010r.</t>
  </si>
  <si>
    <t xml:space="preserve">Wyszczególnienie </t>
  </si>
  <si>
    <t xml:space="preserve">Działalność bibliotek </t>
  </si>
  <si>
    <t>Działalność GOK</t>
  </si>
  <si>
    <t>Załącznik Nr 6</t>
  </si>
  <si>
    <t>Wolne środki o których mowa w art. 217 ust 2 pkt. 6 ustawy o finansach publicznych</t>
  </si>
  <si>
    <t>950</t>
  </si>
  <si>
    <t>010</t>
  </si>
  <si>
    <t>01008</t>
  </si>
  <si>
    <t>wykonanie konserwacji rowów</t>
  </si>
  <si>
    <t>Spółki wodne</t>
  </si>
  <si>
    <t>01010</t>
  </si>
  <si>
    <t>razem</t>
  </si>
  <si>
    <t>2830</t>
  </si>
  <si>
    <t xml:space="preserve"> </t>
  </si>
  <si>
    <t>931</t>
  </si>
  <si>
    <t>20.</t>
  </si>
  <si>
    <t>801</t>
  </si>
  <si>
    <t>900</t>
  </si>
  <si>
    <t>nadwyżki z lat ubiegłych</t>
  </si>
  <si>
    <t>957</t>
  </si>
  <si>
    <t>Załącznik Nr 7</t>
  </si>
  <si>
    <t>paragraf</t>
  </si>
  <si>
    <t>0490</t>
  </si>
  <si>
    <t>21.</t>
  </si>
  <si>
    <t>22.</t>
  </si>
  <si>
    <t>Urzad Gminy Kostomłoty</t>
  </si>
  <si>
    <t>926</t>
  </si>
  <si>
    <t>92601</t>
  </si>
  <si>
    <t>700</t>
  </si>
  <si>
    <t>70005</t>
  </si>
  <si>
    <t>90015</t>
  </si>
  <si>
    <t>Budowa oświetlenia ulicznego na terenie Gminy Kostomłoty</t>
  </si>
  <si>
    <t>921</t>
  </si>
  <si>
    <t>92109</t>
  </si>
  <si>
    <t>12.</t>
  </si>
  <si>
    <t>13.</t>
  </si>
  <si>
    <t>14.</t>
  </si>
  <si>
    <t>15.</t>
  </si>
  <si>
    <t>16.</t>
  </si>
  <si>
    <t>17.</t>
  </si>
  <si>
    <t>18.</t>
  </si>
  <si>
    <t>19.</t>
  </si>
  <si>
    <t>23.</t>
  </si>
  <si>
    <t>24.</t>
  </si>
  <si>
    <t>25.</t>
  </si>
  <si>
    <t>26.</t>
  </si>
  <si>
    <t>27.</t>
  </si>
  <si>
    <t>2360</t>
  </si>
  <si>
    <t>Dochody jednostek samorządu terytorialnego związane z realizacją zadań z zakresu administracji rządowej oraz innych zadań zleconych ustawami</t>
  </si>
  <si>
    <t>L.p.</t>
  </si>
  <si>
    <t>dz. 801 rozdz. 80148-Świetlice szkolne</t>
  </si>
  <si>
    <t>§0920</t>
  </si>
  <si>
    <t>pozostałe odsetki (odsetki od środków na rachunku bankowym)</t>
  </si>
  <si>
    <t>dz. 801 rozdz.80148 - Świetlice szkolne</t>
  </si>
  <si>
    <t>§ 4210</t>
  </si>
  <si>
    <t>zakup materiałów i wyposażenia</t>
  </si>
  <si>
    <t>§ 4220</t>
  </si>
  <si>
    <t>zakup środków żywności</t>
  </si>
  <si>
    <t>§ 4270</t>
  </si>
  <si>
    <t>zakup usług remontowych</t>
  </si>
  <si>
    <t>§ 4300</t>
  </si>
  <si>
    <t>zakup usług pozostałych</t>
  </si>
  <si>
    <t>RAZEM</t>
  </si>
  <si>
    <t>§0830</t>
  </si>
  <si>
    <t>wpływy z różnych usług</t>
  </si>
  <si>
    <t>Gminna Biblioteka Publiczna w Kostomłotach</t>
  </si>
  <si>
    <t>Stowarzyszenie "Nasza Szkoła w Piotrowicach"</t>
  </si>
  <si>
    <t>dotacja dla publicznej szkoły podstawowej</t>
  </si>
  <si>
    <t>dotacja dla niepublicznych przedszkoli</t>
  </si>
  <si>
    <t>Niepubliczne Przedszkole w Piotrowicach przy Stowarzyszeniu "Nasza Szkoła" w Piotrowicach</t>
  </si>
  <si>
    <t>Parafia Rzymsko - Katolicka p.w. Świętych Apostołów Szymona i Judy Tadeusza w Gościsławiu</t>
  </si>
  <si>
    <t>92120</t>
  </si>
  <si>
    <t>2720</t>
  </si>
  <si>
    <t>Parafia Rzymsko - Katolicka Świętej Anny w Ramułtowicach</t>
  </si>
  <si>
    <t>Rzymskokatolicka Parafia p.w. św. Jadwigi w Świdnicy Polskiej</t>
  </si>
  <si>
    <t>754</t>
  </si>
  <si>
    <t>75412</t>
  </si>
  <si>
    <t>ochotnicze straże pożarne</t>
  </si>
  <si>
    <t>dotacja dla OSP Kostomłoty</t>
  </si>
  <si>
    <t>dotacja dla OSP Osiek</t>
  </si>
  <si>
    <t>dotacja dla OSP Paździorno</t>
  </si>
  <si>
    <t>zadania w zakresie kultury fizycznej i sportu</t>
  </si>
  <si>
    <t>stowarzyszenia (realizacja zadania zleconego poprzez ogłoszenie konkursu)</t>
  </si>
  <si>
    <t>razem 010 rolnictwo i łowiectwo</t>
  </si>
  <si>
    <t>razem 600  Transport i łączność</t>
  </si>
  <si>
    <t>razem dz. 750 administracja publiczna</t>
  </si>
  <si>
    <t xml:space="preserve">L.p. </t>
  </si>
  <si>
    <t>Nazwa sołectwa</t>
  </si>
  <si>
    <t>BOGDANÓW</t>
  </si>
  <si>
    <t>BUDZISZÓW</t>
  </si>
  <si>
    <t>CHMIELÓW</t>
  </si>
  <si>
    <t>CZECHY</t>
  </si>
  <si>
    <t>GODKÓW + OSIECZYNA</t>
  </si>
  <si>
    <t>JAKUBKOWICE</t>
  </si>
  <si>
    <t>JARZĄBKOWICE</t>
  </si>
  <si>
    <t>JENKOWICE</t>
  </si>
  <si>
    <t>KARCZYCE + PUSTYNKA</t>
  </si>
  <si>
    <t>KOSTOMŁOTY</t>
  </si>
  <si>
    <t>LISOWICE</t>
  </si>
  <si>
    <t>MIECZKÓW</t>
  </si>
  <si>
    <t>OSIEK</t>
  </si>
  <si>
    <t>PAŹDZIORNO</t>
  </si>
  <si>
    <t>PIERSNO</t>
  </si>
  <si>
    <t>PIOTROWICE</t>
  </si>
  <si>
    <t>RAMUŁTOWICE</t>
  </si>
  <si>
    <t>SAMBORZ</t>
  </si>
  <si>
    <t>SAMSONOWICE</t>
  </si>
  <si>
    <t>SIEMIDROŻYCE</t>
  </si>
  <si>
    <t>SIKORZYCE</t>
  </si>
  <si>
    <t>SOBKOWICE</t>
  </si>
  <si>
    <t>SZYMANOWICE</t>
  </si>
  <si>
    <t>ŚWIDNICA POLSKA</t>
  </si>
  <si>
    <t>WICHRÓW</t>
  </si>
  <si>
    <t>WILKÓW ŚREDZKI + WNORÓW</t>
  </si>
  <si>
    <t>ZABŁOTO</t>
  </si>
  <si>
    <t>Środki funduszu przypadające na dane sołectwo</t>
  </si>
  <si>
    <t>planowane wydatki w ramach funduszu sołeckiego</t>
  </si>
  <si>
    <t>Gminny Ośrodek  Kultury w Kostomłotach</t>
  </si>
  <si>
    <t>Plan dochodów</t>
  </si>
  <si>
    <t>Wpływy z różnych opłat</t>
  </si>
  <si>
    <t>Plan wydatków</t>
  </si>
  <si>
    <t>0690</t>
  </si>
  <si>
    <t>Ogółem plan dochodów</t>
  </si>
  <si>
    <t>ogółem plan wydatków</t>
  </si>
  <si>
    <t>Parafia Rzymsko-Katolicka p.w. św. Katarzyny w Piotrowicach</t>
  </si>
  <si>
    <t>Starostwo Powiatowe w Środzie Śląskiej</t>
  </si>
  <si>
    <t>rezerwa na inwestycje i zakupy inwestycyjne</t>
  </si>
  <si>
    <t>80195</t>
  </si>
  <si>
    <t>Zakład Usług Medycznych w Kostomłotach</t>
  </si>
  <si>
    <t>realizacja programu promocji zdrowia w gminie "Rehabilitacja lecznicza (fizjoterapia i kinezyterapia) mieszkańców Gminy Kostomłoty"</t>
  </si>
  <si>
    <t>razem dz. 754 Bezpieczeństwo publiczne i ochrona przeciwpożarowa</t>
  </si>
  <si>
    <t>przychody ze sprzedaży innych papierów wartościowych</t>
  </si>
  <si>
    <t>zadanie w zakresie działalności na rzecz osób niepełnosprawnych</t>
  </si>
  <si>
    <t>750</t>
  </si>
  <si>
    <t>75095</t>
  </si>
  <si>
    <t>Związek Gmin Wiejskich RP</t>
  </si>
  <si>
    <t>wpłaty gmin na rzecz Związku Gmin Wiejskich na dofinansowanie zadań bieżących</t>
  </si>
  <si>
    <t>dotacja dla publicznej szkoły podstawowej na wyposażenie w podręczniki i materiały edukacyjne</t>
  </si>
  <si>
    <t>Rozbudowa stacji uzdatniania wody w miejscowości Wilków Średzki wraz z budową kanalizacji sanitarnej na terenie Gminy Kostomłoty</t>
  </si>
  <si>
    <t>Budowa świetlicy wiejskiej w miejscowości Świdnica Polska</t>
  </si>
  <si>
    <t>Rodzina</t>
  </si>
  <si>
    <t>dotacja dla OSP Bogdanów</t>
  </si>
  <si>
    <t>Parafia Rzymsko - Katolicka p.w.  Podwyższenia Krzyża Świętego w Kostomłotach</t>
  </si>
  <si>
    <t>92605</t>
  </si>
  <si>
    <t>dofinansowanie zad. inwest. "Budowa ścieżki rowerowej Zabłoto-Kostomłoty" w ramach projektu Budowa ścieżek rowerowych Powiatu Średzkiego na szlaku ślężańskiej drogi św. Jakuba.</t>
  </si>
  <si>
    <t>Termomodernizacja budynku Ochotniczej Straży Pożarnej Kostomłoty</t>
  </si>
  <si>
    <t>Modernizacja wiejskich centrów aktywności społecznej w Budziszowie</t>
  </si>
  <si>
    <t>Budowa oświetlenia ulicznego przy ul. Świerkowej i Sosnowej w Kostomłotach - RS Kostomłoty</t>
  </si>
  <si>
    <t>Przychody ze spłat pożyczek i kredytów udzielonych ze środków publicznych</t>
  </si>
  <si>
    <t>951</t>
  </si>
  <si>
    <t>Wykup innych papierów wartościowych</t>
  </si>
  <si>
    <t>środki z przeznaczeniem na rekompensaty pieniężne za dodatkowe służby na terenie gminy Kostomłoty</t>
  </si>
  <si>
    <t>Komenda Powiatowa Policji w Środzie Śląskiej</t>
  </si>
  <si>
    <t>powierzchniowe utrwalenie nawierzchni dróg oraz ścinka poboczy dróg  powiatowych na terenie gminy Kostomłoty</t>
  </si>
  <si>
    <t>dotacja dla publicznej szkoły podstawowej (oddział przedszkolny)</t>
  </si>
  <si>
    <t>dofinansowanie zad. inwest. "Budowa chodnika w miejscowości Paździorno"</t>
  </si>
  <si>
    <t>dofinansowanie zad. inwest. "Budowa chodnika w miejscowości Piotrowice"</t>
  </si>
  <si>
    <t>90095</t>
  </si>
  <si>
    <t>wniesienie wkładów pieniężnych do spółki pn. Zakład Gospodarki Komunalnej Kostomłoty Sp. z o.o. z siedzibą w Kostomłotach</t>
  </si>
  <si>
    <t>Załącznik Nr 3</t>
  </si>
  <si>
    <t>Modernizacja wiejskiego centrum aktywności społecznej w Samborzu</t>
  </si>
  <si>
    <t>0830</t>
  </si>
  <si>
    <t>0920</t>
  </si>
  <si>
    <t>Wpływy z pozostałych odsetek</t>
  </si>
  <si>
    <t>Wpływy z różnych dochodów</t>
  </si>
  <si>
    <t>Wpływy z tytułu zwrotów wypłaconych świadczeńz funduszu alimentacyjnego</t>
  </si>
  <si>
    <t>Załącznik Nr 9</t>
  </si>
  <si>
    <t>Załącznik nr 10</t>
  </si>
  <si>
    <t>Rzymskokatolicka Parafia św. Marcina w Kulinie</t>
  </si>
  <si>
    <t>załącznik nr 11</t>
  </si>
  <si>
    <t>Załącznik Nr 12</t>
  </si>
  <si>
    <t>Załącznik nr 13</t>
  </si>
  <si>
    <t xml:space="preserve">do Uchwały nr  Rady Gminy Kostomłoty w sprawie budżetu Gminy Kostomłoty na 2019 rok </t>
  </si>
  <si>
    <t>Wydatki w podziale na sołectwa realizowane w ramach Funduszu sołeckiego w roku 2019</t>
  </si>
  <si>
    <t>Przychody i rozchody budżetu w 2020r.</t>
  </si>
  <si>
    <t>Dochody związane z realizacją zadań z zakresu administracji rządowej oraz innych zadań zleconych gminie, podlegające przekazaniu do budżetu państwa w 2020 r.</t>
  </si>
  <si>
    <t xml:space="preserve">Plan dochodów  i wydatków rachunku dochodów samorządowych jednostek oświaty gromadzących dochody na wydzielonym rachunku bankowym w 2020 roku
</t>
  </si>
  <si>
    <t>Plan dochodów i wydatków na realizację zadań z zakresu ochrony środowiska w Gminie Kostomłoty na rok 2020.</t>
  </si>
  <si>
    <t>dotacja celowa do przydomowych oczyszczalni ścieków lub szczelnych zbiorników bezodpływowych</t>
  </si>
  <si>
    <t>mieszkańcy gminy</t>
  </si>
  <si>
    <t>dofinansowanie zad. inwest. "Przebudowa chodnika w miejscowości Mieczków"</t>
  </si>
  <si>
    <t>dofinansowanie zad.inwest. "Przebudowa drogi 1606D odcinek od granicy z Gminą Miękinia do skrzyżowania z drogą 2020D"</t>
  </si>
  <si>
    <t>dotacja na dofinansowanie prac  remontowych polegających nawykonaniu fumigacji wnętrza i więźby dachowej kościoła parafialnego w Ramułtowicach</t>
  </si>
  <si>
    <t>dotacja na dofinansowanie prac  remontowych wieży kościoła p.w. św. Marcina w Chmielowie</t>
  </si>
  <si>
    <t>dotacja na dofinansowanie prac  remontowych polegających na konserwacji i restauracji obrazów stacji drogi krzyżowej (etapI: stacja I i II)znajdujących się w kościele pw. Podwyższenia Krzyża Świętego w Kostomłotach</t>
  </si>
  <si>
    <t>dotacja na dofinansowanie prac  remontowych polegających na konserwacji i restauracj kompletu 2 obrazów olejnych z 1891 r. - Wniebowstąpienie Chrystusa i Zwiastowanie w kościele filialnym pw. Podwyższenie Krzyża Św. W Karczycach</t>
  </si>
  <si>
    <t>dotacja na dofinansowanie prac  remontowych - wymiana starych schodów na nowe przy kościele p.w. św. Andrzeja Boboli w Mieczkowie</t>
  </si>
  <si>
    <t>dotacja na dofinansowanie prac  remontowych - renowacja zabytkowych organów w kościele pw. Wniebowzięcia NMP w Osieku</t>
  </si>
  <si>
    <t>dotacja na sfinansowanie dokumentacji projektowej robót modernizacyjnych pn. Modernizacja stropu i dachu Kościoła pw. Siedmiu Boleści NMP w Godkowie</t>
  </si>
  <si>
    <t>dotacja na sfinansowanie remontu wnętrza kościoła pw. Matki Bożej Anielskiej w Bogdanowie</t>
  </si>
  <si>
    <t>dotacja na dofinansowanie prac  konserwatorskich ołtarza głównego w kościele filialnym pw. Św. Piotra i Pawła w Paździornir etap II</t>
  </si>
  <si>
    <t>dotacja na dofinansowanie prac  remontowych i konserwatorskich "kuli" wraz z jej osadzeniem w zwieńczeniu wieży kościoła p.w. św. Michała Archanioła w Piersnie</t>
  </si>
  <si>
    <t>dotacja na dofinansowanie prac  remontowych polegających na konserwacji stacji drogi krzyżowej (VIII, IX, XII) w kościele parafialnym p.w. św. Jadwigi w Świdnicy Polskiej</t>
  </si>
  <si>
    <t>Plan na 2020r</t>
  </si>
  <si>
    <t>Gminny Program Profilaktyki i Rozwiązywania Problemów Uzależnień w 2020 r.</t>
  </si>
  <si>
    <t xml:space="preserve">Plan dochody na 2020r. </t>
  </si>
  <si>
    <t>Plan wydatki na 2020r.</t>
  </si>
  <si>
    <t xml:space="preserve">Zadania inwestycyjne i wydatki majątkowe realizowane w gminie Kostomłoty w 2020 roku  </t>
  </si>
  <si>
    <t>Wpływy z tytułu opłat za gospodarowanie odpadami komunalnymi oraz wydatki nimi finansowane w 2020</t>
  </si>
  <si>
    <r>
      <t>Wynik budżetu</t>
    </r>
    <r>
      <rPr>
        <b/>
        <sz val="9"/>
        <color indexed="8"/>
        <rFont val="Times New Roman"/>
        <family val="1"/>
        <charset val="238"/>
      </rPr>
      <t xml:space="preserve"> /różnica przychody - rozchody/</t>
    </r>
  </si>
  <si>
    <r>
      <t>*</t>
    </r>
    <r>
      <rPr>
        <i/>
        <vertAlign val="superscript"/>
        <sz val="10"/>
        <rFont val="Times New Roman"/>
        <family val="1"/>
        <charset val="238"/>
      </rPr>
      <t xml:space="preserve">    </t>
    </r>
    <r>
      <rPr>
        <i/>
        <sz val="10"/>
        <rFont val="Times New Roman"/>
        <family val="1"/>
        <charset val="238"/>
      </rPr>
      <t>dochody</t>
    </r>
  </si>
  <si>
    <r>
      <t xml:space="preserve">dotacja na dofinansowanie prac  remontowych i konserwatorskich obiektów zabytkowych kościoła p.w. M.B. Anielskiej w </t>
    </r>
    <r>
      <rPr>
        <b/>
        <sz val="9"/>
        <rFont val="Times New Roman"/>
        <family val="1"/>
        <charset val="238"/>
      </rPr>
      <t>Bogdanowie</t>
    </r>
  </si>
  <si>
    <t>Dotacje udzielane w 2020 roku z budżetu podmiotom należącym i nienależącym do sektora finansów publicznych</t>
  </si>
  <si>
    <t>dotacja na dofinansowanie prac  remontowych polegających na konserwacji i restauracji obrazów stacji drogi krzyżowej (etapI: stacja I i II) znajdujących się w kościele pw. Narodzenia Najświętszej Maryi Panny w Wichrowie</t>
  </si>
  <si>
    <t>rok budżetowy 2020(7+8+9+10)</t>
  </si>
  <si>
    <t>środki pochodzące
z innych  źródeł</t>
  </si>
  <si>
    <t>Budowa kanalizacji sanitarnej i sieci wodociągowej w Kostomłotach ul. Jarzębinowa i Jaśminowa</t>
  </si>
  <si>
    <t>Budowa kanalizacji sanitarnej i sieci wodociągowej w Kostomłotach ul. Modrzewiowa</t>
  </si>
  <si>
    <t>Budowa studni głębinowej dla Stacji Uzdarniania Wody w Wilkowie Średzkim</t>
  </si>
  <si>
    <t>Modernizacja przepompowni ścieków w miejscowości Kostomłoty</t>
  </si>
  <si>
    <t>Modernizacja przepompowni ścieków w miejscowości Jenkowice</t>
  </si>
  <si>
    <t>Zakupy inwestycyjne/odpłatne przeniesienie praw własności</t>
  </si>
  <si>
    <t>Dotacja do przydomowych oczyszczalni ścieków lub szczelnych zbiorników bezodpływowych</t>
  </si>
  <si>
    <t>Przebudowa chodnika w miejscowości Mieczków</t>
  </si>
  <si>
    <t>Przebudowa drogi 1606D odcinek od granicy z Gminą Miękinia do skrzyżowania z drogą 2020D</t>
  </si>
  <si>
    <t>Przebudowa drogi gminnej wraz z budową chodnika w miejscowości Piersno (dz. nr 317/1dr i 320dr)</t>
  </si>
  <si>
    <t>Przebudowa drogi gminnej relacji Świdnica Polska - Sikorzyce</t>
  </si>
  <si>
    <t>Budowa drogi gminnej w miejscowości Kostomłoty</t>
  </si>
  <si>
    <t>Wykup gruntów i nieruchomości</t>
  </si>
  <si>
    <t>Zakup serwera</t>
  </si>
  <si>
    <t>Środki z przeznaczeniem na współfinansowanie zakupu radiowozu oznakowanego dla Komendy Powiatowej Policji w Środzie Śląskiej</t>
  </si>
  <si>
    <t>razem dz. 758 Różne rozliczenia</t>
  </si>
  <si>
    <t>Wzmocnienie więźby dachowej sali gimnastycznej przy Szkole Podstawowej w Kostomłotach</t>
  </si>
  <si>
    <t>razem dz. 801 Oświata i wychowanie</t>
  </si>
  <si>
    <t>Adaptacja strychu i remont pomieszczenia na I piętrze w Dziennym Domu Senior+ w Osieku wraz z zagospodarowaniem terenu przy obiekcie</t>
  </si>
  <si>
    <t>Budowa hybrydowego oświetlenia ulicznego na terenie Gminy kostomłoty</t>
  </si>
  <si>
    <t>razem dz. 900 Gospodarka Komunalna i ochrona środowiska</t>
  </si>
  <si>
    <t>Odbudowa świetlicy wiejskiej w miejscowości Bogdanów</t>
  </si>
  <si>
    <t>Rozbudowa  świetlicy wiejskiej w Jarząbkowicach</t>
  </si>
  <si>
    <t>Termomodernizacja świetlicy wiejskiej w Piersnie</t>
  </si>
  <si>
    <t xml:space="preserve">Zagospodarowanie terenów przy gminnych obiektach rekreacyjno - sportowych
</t>
  </si>
  <si>
    <t>Wpływy i wydatki związane z gromadzeniem środków z opłat i kar za korzystanie ze środowiska</t>
  </si>
  <si>
    <t>dofinansowanie wykup budynku szpitala w Środzie Śląskiej</t>
  </si>
  <si>
    <t>01042</t>
  </si>
  <si>
    <t>Remont drogi dojazdowej do gruntów rolnych Wnorów - Chmielów z wykonaniem nowej nawierzchni warstwy jezdnej</t>
  </si>
  <si>
    <t>"Wesołe Skrzaty" - pierwszy publiczny żłobek w Gminie Kostomłoty (Budowa placu zabaw)</t>
  </si>
  <si>
    <t>Budowa żłobka w miejscowości Kostomłoty</t>
  </si>
  <si>
    <t>wykup budynku szpitala w Środzie Śląskiej</t>
  </si>
  <si>
    <t>razem 700 gospodarka mieszkaniowa</t>
  </si>
  <si>
    <t>razem 851 Ochrona zdrowia</t>
  </si>
  <si>
    <t>razem 852 pomoc społeczna</t>
  </si>
  <si>
    <t>razem 853 Pozostałe zadania w zakresie polityki społecznej</t>
  </si>
  <si>
    <t>razem 855 Rodzina</t>
  </si>
  <si>
    <t>razem 921 kultura i ochrona dziedzictwa narodowego</t>
  </si>
  <si>
    <t>razem 926 kultura fizyczna</t>
  </si>
  <si>
    <t xml:space="preserve">do Uchwały nr XIX/139/20 Rady Gminy Kostomłoty z dnia 8 stycznia 2020 r. w sprawie budżetu Gminy Kostomłoty na 2020 rok </t>
  </si>
</sst>
</file>

<file path=xl/styles.xml><?xml version="1.0" encoding="utf-8"?>
<styleSheet xmlns="http://schemas.openxmlformats.org/spreadsheetml/2006/main">
  <numFmts count="3">
    <numFmt numFmtId="41" formatCode="_-* #,##0\ _z_ł_-;\-* #,##0\ _z_ł_-;_-* &quot;-&quot;\ _z_ł_-;_-@_-"/>
    <numFmt numFmtId="43" formatCode="_-* #,##0.00\ _z_ł_-;\-* #,##0.00\ _z_ł_-;_-* &quot;-&quot;??\ _z_ł_-;_-@_-"/>
    <numFmt numFmtId="164" formatCode="#,##0.0000"/>
  </numFmts>
  <fonts count="10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color indexed="14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u/>
      <sz val="8"/>
      <name val="Calibri"/>
      <family val="2"/>
      <charset val="238"/>
      <scheme val="minor"/>
    </font>
    <font>
      <u/>
      <sz val="10"/>
      <name val="Calibri"/>
      <family val="2"/>
      <charset val="238"/>
      <scheme val="minor"/>
    </font>
    <font>
      <b/>
      <u/>
      <sz val="10"/>
      <color indexed="8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i/>
      <u/>
      <sz val="10"/>
      <name val="Calibri"/>
      <family val="2"/>
      <charset val="238"/>
      <scheme val="minor"/>
    </font>
    <font>
      <b/>
      <u val="singleAccounting"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7.5"/>
      <name val="Calibri"/>
      <family val="2"/>
      <charset val="238"/>
      <scheme val="minor"/>
    </font>
    <font>
      <b/>
      <sz val="7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8.5"/>
      <name val="Arial"/>
      <family val="2"/>
      <charset val="238"/>
    </font>
    <font>
      <sz val="8.5"/>
      <name val="Arial"/>
      <family val="2"/>
      <charset val="238"/>
    </font>
    <font>
      <b/>
      <u/>
      <sz val="8.5"/>
      <name val="Arial"/>
      <family val="2"/>
      <charset val="238"/>
    </font>
    <font>
      <b/>
      <sz val="8.5"/>
      <color indexed="8"/>
      <name val="Arial"/>
      <family val="2"/>
      <charset val="238"/>
    </font>
    <font>
      <u/>
      <sz val="8.5"/>
      <name val="Arial"/>
      <family val="2"/>
      <charset val="238"/>
    </font>
    <font>
      <sz val="8.5"/>
      <color indexed="8"/>
      <name val="Arial"/>
      <family val="2"/>
      <charset val="238"/>
    </font>
    <font>
      <sz val="8.5"/>
      <color theme="1"/>
      <name val="Arial"/>
      <family val="2"/>
      <charset val="238"/>
    </font>
    <font>
      <b/>
      <u/>
      <sz val="8.5"/>
      <color indexed="8"/>
      <name val="Arial"/>
      <family val="2"/>
      <charset val="238"/>
    </font>
    <font>
      <b/>
      <i/>
      <sz val="8.5"/>
      <name val="Arial"/>
      <family val="2"/>
      <charset val="238"/>
    </font>
    <font>
      <b/>
      <i/>
      <u/>
      <sz val="8.5"/>
      <name val="Arial"/>
      <family val="2"/>
      <charset val="238"/>
    </font>
    <font>
      <b/>
      <sz val="8.5"/>
      <color theme="1"/>
      <name val="Arial"/>
      <family val="2"/>
      <charset val="238"/>
    </font>
    <font>
      <b/>
      <u val="singleAccounting"/>
      <sz val="8.5"/>
      <name val="Arial"/>
      <family val="2"/>
      <charset val="238"/>
    </font>
    <font>
      <sz val="8.5"/>
      <color indexed="14"/>
      <name val="Arial"/>
      <family val="2"/>
      <charset val="238"/>
    </font>
    <font>
      <sz val="8.25"/>
      <color indexed="8"/>
      <name val="Arial"/>
      <family val="2"/>
      <charset val="238"/>
    </font>
    <font>
      <b/>
      <sz val="8.25"/>
      <color indexed="8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8.5"/>
      <color rgb="FFC00000"/>
      <name val="Arial"/>
      <family val="2"/>
      <charset val="238"/>
    </font>
    <font>
      <sz val="8.5"/>
      <color rgb="FF991005"/>
      <name val="Arial"/>
      <family val="2"/>
      <charset val="238"/>
    </font>
    <font>
      <b/>
      <u/>
      <sz val="9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9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b/>
      <sz val="11"/>
      <name val="Arial"/>
      <family val="2"/>
      <charset val="238"/>
    </font>
    <font>
      <b/>
      <sz val="10"/>
      <name val="Cambria"/>
      <family val="1"/>
      <charset val="238"/>
      <scheme val="major"/>
    </font>
    <font>
      <b/>
      <sz val="12"/>
      <name val="Cambria"/>
      <family val="1"/>
      <charset val="238"/>
      <scheme val="major"/>
    </font>
    <font>
      <sz val="10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2"/>
      <name val="Times New Roman"/>
      <family val="1"/>
      <charset val="238"/>
    </font>
    <font>
      <i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sz val="7"/>
      <color rgb="FF000000"/>
      <name val="Times New Roman"/>
      <family val="1"/>
      <charset val="238"/>
    </font>
    <font>
      <b/>
      <sz val="7.5"/>
      <color rgb="FF000000"/>
      <name val="Times New Roman"/>
      <family val="1"/>
      <charset val="238"/>
    </font>
    <font>
      <i/>
      <sz val="8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b/>
      <sz val="9"/>
      <color rgb="FFC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7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  <font>
      <b/>
      <vertAlign val="superscript"/>
      <sz val="9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vertAlign val="superscript"/>
      <sz val="14"/>
      <name val="Times New Roman"/>
      <family val="1"/>
      <charset val="238"/>
    </font>
    <font>
      <b/>
      <sz val="8"/>
      <name val="Times New Roman"/>
      <family val="1"/>
      <charset val="238"/>
    </font>
    <font>
      <sz val="10"/>
      <color rgb="FFFF0000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9"/>
      <color rgb="FFFF0000"/>
      <name val="Cambria"/>
      <family val="1"/>
      <charset val="238"/>
      <scheme val="major"/>
    </font>
    <font>
      <b/>
      <sz val="11"/>
      <color rgb="FFFF0000"/>
      <name val="Cambria"/>
      <family val="1"/>
      <charset val="238"/>
      <scheme val="major"/>
    </font>
    <font>
      <sz val="10"/>
      <color rgb="FFFF0000"/>
      <name val="Cambria"/>
      <family val="1"/>
      <charset val="238"/>
      <scheme val="major"/>
    </font>
    <font>
      <sz val="11"/>
      <color rgb="FFFF0000"/>
      <name val="Cambria"/>
      <family val="1"/>
      <charset val="238"/>
      <scheme val="major"/>
    </font>
    <font>
      <b/>
      <sz val="12"/>
      <color rgb="FFFF0000"/>
      <name val="Cambria"/>
      <family val="1"/>
      <charset val="238"/>
      <scheme val="major"/>
    </font>
  </fonts>
  <fills count="2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0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0"/>
      </patternFill>
    </fill>
    <fill>
      <patternFill patternType="solid">
        <fgColor theme="0"/>
        <bgColor indexed="26"/>
      </patternFill>
    </fill>
    <fill>
      <patternFill patternType="solid">
        <fgColor theme="6" tint="0.59999389629810485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</cellStyleXfs>
  <cellXfs count="920">
    <xf numFmtId="0" fontId="0" fillId="0" borderId="0" xfId="0"/>
    <xf numFmtId="0" fontId="5" fillId="0" borderId="1" xfId="0" applyFont="1" applyBorder="1" applyAlignment="1">
      <alignment horizontal="center"/>
    </xf>
    <xf numFmtId="3" fontId="7" fillId="0" borderId="1" xfId="0" applyNumberFormat="1" applyFont="1" applyBorder="1" applyAlignment="1">
      <alignment horizontal="right" vertical="center"/>
    </xf>
    <xf numFmtId="0" fontId="4" fillId="0" borderId="0" xfId="0" applyFont="1"/>
    <xf numFmtId="0" fontId="10" fillId="0" borderId="0" xfId="0" applyFont="1"/>
    <xf numFmtId="0" fontId="7" fillId="0" borderId="0" xfId="0" applyFont="1"/>
    <xf numFmtId="3" fontId="7" fillId="0" borderId="0" xfId="0" applyNumberFormat="1" applyFont="1"/>
    <xf numFmtId="3" fontId="11" fillId="0" borderId="0" xfId="0" applyNumberFormat="1" applyFont="1"/>
    <xf numFmtId="0" fontId="12" fillId="10" borderId="1" xfId="0" applyFont="1" applyFill="1" applyBorder="1" applyAlignment="1">
      <alignment horizontal="center"/>
    </xf>
    <xf numFmtId="0" fontId="7" fillId="10" borderId="1" xfId="0" applyFont="1" applyFill="1" applyBorder="1"/>
    <xf numFmtId="49" fontId="13" fillId="11" borderId="3" xfId="0" applyNumberFormat="1" applyFont="1" applyFill="1" applyBorder="1" applyAlignment="1" applyProtection="1">
      <alignment horizontal="left" vertical="center" wrapText="1"/>
      <protection locked="0"/>
    </xf>
    <xf numFmtId="3" fontId="12" fillId="10" borderId="1" xfId="1" applyNumberFormat="1" applyFont="1" applyFill="1" applyBorder="1"/>
    <xf numFmtId="10" fontId="14" fillId="10" borderId="1" xfId="3" applyNumberFormat="1" applyFont="1" applyFill="1" applyBorder="1"/>
    <xf numFmtId="0" fontId="12" fillId="6" borderId="1" xfId="0" applyFont="1" applyFill="1" applyBorder="1" applyAlignment="1">
      <alignment horizontal="center"/>
    </xf>
    <xf numFmtId="0" fontId="5" fillId="6" borderId="1" xfId="0" applyFont="1" applyFill="1" applyBorder="1"/>
    <xf numFmtId="49" fontId="13" fillId="7" borderId="3" xfId="0" applyNumberFormat="1" applyFont="1" applyFill="1" applyBorder="1" applyAlignment="1" applyProtection="1">
      <alignment horizontal="left" vertical="center" wrapText="1"/>
      <protection locked="0"/>
    </xf>
    <xf numFmtId="3" fontId="5" fillId="6" borderId="1" xfId="1" applyNumberFormat="1" applyFont="1" applyFill="1" applyBorder="1"/>
    <xf numFmtId="10" fontId="6" fillId="6" borderId="1" xfId="3" applyNumberFormat="1" applyFont="1" applyFill="1" applyBorder="1"/>
    <xf numFmtId="0" fontId="5" fillId="0" borderId="0" xfId="0" applyFont="1"/>
    <xf numFmtId="0" fontId="15" fillId="2" borderId="1" xfId="0" applyFont="1" applyFill="1" applyBorder="1" applyAlignment="1">
      <alignment horizontal="center"/>
    </xf>
    <xf numFmtId="0" fontId="7" fillId="2" borderId="1" xfId="0" applyFont="1" applyFill="1" applyBorder="1"/>
    <xf numFmtId="0" fontId="7" fillId="0" borderId="1" xfId="0" applyFont="1" applyBorder="1"/>
    <xf numFmtId="49" fontId="9" fillId="5" borderId="5" xfId="0" applyNumberFormat="1" applyFont="1" applyFill="1" applyBorder="1" applyAlignment="1" applyProtection="1">
      <alignment horizontal="left" vertical="center" wrapText="1"/>
      <protection locked="0"/>
    </xf>
    <xf numFmtId="10" fontId="8" fillId="2" borderId="1" xfId="3" applyNumberFormat="1" applyFont="1" applyFill="1" applyBorder="1"/>
    <xf numFmtId="0" fontId="7" fillId="2" borderId="0" xfId="0" applyFont="1" applyFill="1"/>
    <xf numFmtId="0" fontId="7" fillId="2" borderId="1" xfId="0" applyFont="1" applyFill="1" applyBorder="1" applyAlignment="1">
      <alignment horizontal="center"/>
    </xf>
    <xf numFmtId="49" fontId="7" fillId="11" borderId="3" xfId="0" applyNumberFormat="1" applyFont="1" applyFill="1" applyBorder="1" applyAlignment="1" applyProtection="1">
      <alignment horizontal="left" vertical="center" wrapText="1"/>
      <protection locked="0"/>
    </xf>
    <xf numFmtId="3" fontId="5" fillId="10" borderId="1" xfId="1" applyNumberFormat="1" applyFont="1" applyFill="1" applyBorder="1"/>
    <xf numFmtId="3" fontId="5" fillId="10" borderId="1" xfId="1" applyNumberFormat="1" applyFont="1" applyFill="1" applyBorder="1" applyAlignment="1"/>
    <xf numFmtId="10" fontId="6" fillId="10" borderId="1" xfId="3" applyNumberFormat="1" applyFont="1" applyFill="1" applyBorder="1"/>
    <xf numFmtId="3" fontId="5" fillId="6" borderId="1" xfId="1" applyNumberFormat="1" applyFont="1" applyFill="1" applyBorder="1" applyAlignment="1"/>
    <xf numFmtId="49" fontId="9" fillId="5" borderId="5" xfId="0" applyNumberFormat="1" applyFont="1" applyFill="1" applyBorder="1" applyAlignment="1" applyProtection="1">
      <alignment vertical="center" wrapText="1"/>
      <protection locked="0"/>
    </xf>
    <xf numFmtId="49" fontId="9" fillId="5" borderId="3" xfId="0" applyNumberFormat="1" applyFont="1" applyFill="1" applyBorder="1" applyAlignment="1" applyProtection="1">
      <alignment horizontal="left" vertical="center" wrapText="1"/>
      <protection locked="0"/>
    </xf>
    <xf numFmtId="0" fontId="5" fillId="6" borderId="1" xfId="2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5" fillId="2" borderId="0" xfId="0" applyFont="1" applyFill="1"/>
    <xf numFmtId="41" fontId="5" fillId="2" borderId="0" xfId="0" applyNumberFormat="1" applyFont="1" applyFill="1"/>
    <xf numFmtId="0" fontId="5" fillId="10" borderId="1" xfId="0" applyFont="1" applyFill="1" applyBorder="1"/>
    <xf numFmtId="49" fontId="13" fillId="11" borderId="5" xfId="0" applyNumberFormat="1" applyFont="1" applyFill="1" applyBorder="1" applyAlignment="1" applyProtection="1">
      <alignment vertical="center" wrapText="1"/>
      <protection locked="0"/>
    </xf>
    <xf numFmtId="49" fontId="13" fillId="7" borderId="5" xfId="0" applyNumberFormat="1" applyFont="1" applyFill="1" applyBorder="1" applyAlignment="1" applyProtection="1">
      <alignment vertical="center" wrapText="1"/>
      <protection locked="0"/>
    </xf>
    <xf numFmtId="0" fontId="12" fillId="8" borderId="1" xfId="0" applyFont="1" applyFill="1" applyBorder="1" applyAlignment="1">
      <alignment horizontal="center"/>
    </xf>
    <xf numFmtId="0" fontId="5" fillId="8" borderId="1" xfId="0" applyFont="1" applyFill="1" applyBorder="1"/>
    <xf numFmtId="49" fontId="9" fillId="9" borderId="3" xfId="0" applyNumberFormat="1" applyFont="1" applyFill="1" applyBorder="1" applyAlignment="1" applyProtection="1">
      <alignment horizontal="left" vertical="center" wrapText="1"/>
      <protection locked="0"/>
    </xf>
    <xf numFmtId="0" fontId="12" fillId="2" borderId="1" xfId="0" applyFont="1" applyFill="1" applyBorder="1" applyAlignment="1">
      <alignment horizontal="center"/>
    </xf>
    <xf numFmtId="3" fontId="12" fillId="6" borderId="1" xfId="1" applyNumberFormat="1" applyFont="1" applyFill="1" applyBorder="1"/>
    <xf numFmtId="0" fontId="5" fillId="2" borderId="1" xfId="0" applyFont="1" applyFill="1" applyBorder="1"/>
    <xf numFmtId="41" fontId="7" fillId="2" borderId="0" xfId="0" applyNumberFormat="1" applyFont="1" applyFill="1"/>
    <xf numFmtId="10" fontId="7" fillId="2" borderId="1" xfId="3" applyNumberFormat="1" applyFont="1" applyFill="1" applyBorder="1"/>
    <xf numFmtId="9" fontId="7" fillId="0" borderId="0" xfId="3" applyFont="1"/>
    <xf numFmtId="10" fontId="7" fillId="0" borderId="0" xfId="3" applyNumberFormat="1" applyFont="1"/>
    <xf numFmtId="0" fontId="7" fillId="6" borderId="1" xfId="0" applyFont="1" applyFill="1" applyBorder="1"/>
    <xf numFmtId="49" fontId="9" fillId="7" borderId="5" xfId="0" applyNumberFormat="1" applyFont="1" applyFill="1" applyBorder="1" applyAlignment="1" applyProtection="1">
      <alignment vertical="center" wrapText="1"/>
      <protection locked="0"/>
    </xf>
    <xf numFmtId="49" fontId="9" fillId="7" borderId="3" xfId="0" applyNumberFormat="1" applyFont="1" applyFill="1" applyBorder="1" applyAlignment="1" applyProtection="1">
      <alignment horizontal="left" vertical="center" wrapText="1"/>
      <protection locked="0"/>
    </xf>
    <xf numFmtId="10" fontId="8" fillId="6" borderId="1" xfId="3" applyNumberFormat="1" applyFont="1" applyFill="1" applyBorder="1"/>
    <xf numFmtId="0" fontId="7" fillId="10" borderId="0" xfId="0" applyFont="1" applyFill="1"/>
    <xf numFmtId="0" fontId="7" fillId="8" borderId="0" xfId="0" applyFont="1" applyFill="1"/>
    <xf numFmtId="41" fontId="7" fillId="0" borderId="0" xfId="0" applyNumberFormat="1" applyFont="1"/>
    <xf numFmtId="49" fontId="13" fillId="7" borderId="9" xfId="0" applyNumberFormat="1" applyFont="1" applyFill="1" applyBorder="1" applyAlignment="1" applyProtection="1">
      <alignment vertical="center" wrapText="1"/>
      <protection locked="0"/>
    </xf>
    <xf numFmtId="49" fontId="13" fillId="7" borderId="10" xfId="0" applyNumberFormat="1" applyFont="1" applyFill="1" applyBorder="1" applyAlignment="1" applyProtection="1">
      <alignment horizontal="left" vertical="center" wrapText="1"/>
      <protection locked="0"/>
    </xf>
    <xf numFmtId="3" fontId="13" fillId="6" borderId="1" xfId="1" applyNumberFormat="1" applyFont="1" applyFill="1" applyBorder="1"/>
    <xf numFmtId="0" fontId="7" fillId="2" borderId="6" xfId="0" applyFont="1" applyFill="1" applyBorder="1"/>
    <xf numFmtId="0" fontId="7" fillId="2" borderId="6" xfId="0" applyFont="1" applyFill="1" applyBorder="1" applyAlignment="1">
      <alignment horizontal="center"/>
    </xf>
    <xf numFmtId="49" fontId="9" fillId="5" borderId="7" xfId="0" applyNumberFormat="1" applyFont="1" applyFill="1" applyBorder="1" applyAlignment="1" applyProtection="1">
      <alignment vertical="center" wrapText="1"/>
      <protection locked="0"/>
    </xf>
    <xf numFmtId="49" fontId="9" fillId="5" borderId="8" xfId="0" applyNumberFormat="1" applyFont="1" applyFill="1" applyBorder="1" applyAlignment="1" applyProtection="1">
      <alignment horizontal="left" vertical="center" wrapText="1"/>
      <protection locked="0"/>
    </xf>
    <xf numFmtId="10" fontId="8" fillId="2" borderId="6" xfId="3" applyNumberFormat="1" applyFont="1" applyFill="1" applyBorder="1"/>
    <xf numFmtId="0" fontId="16" fillId="6" borderId="1" xfId="0" applyFont="1" applyFill="1" applyBorder="1" applyAlignment="1">
      <alignment horizontal="center"/>
    </xf>
    <xf numFmtId="0" fontId="13" fillId="6" borderId="1" xfId="0" applyFont="1" applyFill="1" applyBorder="1" applyAlignment="1">
      <alignment horizontal="center"/>
    </xf>
    <xf numFmtId="41" fontId="13" fillId="0" borderId="0" xfId="0" applyNumberFormat="1" applyFont="1"/>
    <xf numFmtId="0" fontId="13" fillId="0" borderId="0" xfId="0" applyFont="1"/>
    <xf numFmtId="0" fontId="17" fillId="6" borderId="1" xfId="0" applyFont="1" applyFill="1" applyBorder="1"/>
    <xf numFmtId="0" fontId="7" fillId="10" borderId="1" xfId="0" applyFont="1" applyFill="1" applyBorder="1" applyAlignment="1">
      <alignment horizontal="center"/>
    </xf>
    <xf numFmtId="3" fontId="12" fillId="10" borderId="1" xfId="1" applyNumberFormat="1" applyFont="1" applyFill="1" applyBorder="1" applyAlignment="1">
      <alignment horizontal="right"/>
    </xf>
    <xf numFmtId="3" fontId="5" fillId="6" borderId="1" xfId="1" applyNumberFormat="1" applyFont="1" applyFill="1" applyBorder="1" applyAlignment="1">
      <alignment horizontal="right"/>
    </xf>
    <xf numFmtId="0" fontId="12" fillId="3" borderId="1" xfId="0" applyFont="1" applyFill="1" applyBorder="1" applyAlignment="1">
      <alignment horizontal="center"/>
    </xf>
    <xf numFmtId="0" fontId="7" fillId="3" borderId="1" xfId="0" applyFont="1" applyFill="1" applyBorder="1"/>
    <xf numFmtId="0" fontId="18" fillId="3" borderId="1" xfId="0" applyFont="1" applyFill="1" applyBorder="1"/>
    <xf numFmtId="3" fontId="12" fillId="3" borderId="1" xfId="1" applyNumberFormat="1" applyFont="1" applyFill="1" applyBorder="1"/>
    <xf numFmtId="10" fontId="6" fillId="3" borderId="1" xfId="3" applyNumberFormat="1" applyFont="1" applyFill="1" applyBorder="1"/>
    <xf numFmtId="0" fontId="12" fillId="4" borderId="1" xfId="0" applyFont="1" applyFill="1" applyBorder="1" applyAlignment="1">
      <alignment horizontal="center"/>
    </xf>
    <xf numFmtId="4" fontId="7" fillId="2" borderId="0" xfId="0" applyNumberFormat="1" applyFont="1" applyFill="1"/>
    <xf numFmtId="4" fontId="7" fillId="0" borderId="0" xfId="0" applyNumberFormat="1" applyFont="1"/>
    <xf numFmtId="0" fontId="13" fillId="6" borderId="1" xfId="0" applyFont="1" applyFill="1" applyBorder="1"/>
    <xf numFmtId="3" fontId="13" fillId="6" borderId="1" xfId="0" applyNumberFormat="1" applyFont="1" applyFill="1" applyBorder="1"/>
    <xf numFmtId="3" fontId="7" fillId="2" borderId="0" xfId="0" applyNumberFormat="1" applyFont="1" applyFill="1"/>
    <xf numFmtId="3" fontId="5" fillId="6" borderId="1" xfId="0" applyNumberFormat="1" applyFont="1" applyFill="1" applyBorder="1"/>
    <xf numFmtId="0" fontId="7" fillId="8" borderId="1" xfId="0" applyFont="1" applyFill="1" applyBorder="1"/>
    <xf numFmtId="0" fontId="9" fillId="8" borderId="1" xfId="0" applyFont="1" applyFill="1" applyBorder="1"/>
    <xf numFmtId="0" fontId="5" fillId="10" borderId="1" xfId="0" applyFont="1" applyFill="1" applyBorder="1" applyAlignment="1">
      <alignment wrapText="1"/>
    </xf>
    <xf numFmtId="3" fontId="5" fillId="10" borderId="1" xfId="0" applyNumberFormat="1" applyFont="1" applyFill="1" applyBorder="1"/>
    <xf numFmtId="10" fontId="8" fillId="10" borderId="1" xfId="3" applyNumberFormat="1" applyFont="1" applyFill="1" applyBorder="1"/>
    <xf numFmtId="3" fontId="19" fillId="10" borderId="1" xfId="1" applyNumberFormat="1" applyFont="1" applyFill="1" applyBorder="1"/>
    <xf numFmtId="0" fontId="5" fillId="8" borderId="1" xfId="0" applyFont="1" applyFill="1" applyBorder="1" applyAlignment="1">
      <alignment horizontal="center"/>
    </xf>
    <xf numFmtId="10" fontId="8" fillId="8" borderId="1" xfId="3" applyNumberFormat="1" applyFont="1" applyFill="1" applyBorder="1"/>
    <xf numFmtId="3" fontId="16" fillId="10" borderId="1" xfId="1" applyNumberFormat="1" applyFont="1" applyFill="1" applyBorder="1"/>
    <xf numFmtId="0" fontId="7" fillId="0" borderId="1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3" fontId="7" fillId="0" borderId="1" xfId="0" applyNumberFormat="1" applyFont="1" applyBorder="1"/>
    <xf numFmtId="0" fontId="5" fillId="0" borderId="2" xfId="0" applyFont="1" applyBorder="1" applyAlignment="1">
      <alignment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/>
    </xf>
    <xf numFmtId="3" fontId="5" fillId="0" borderId="1" xfId="0" applyNumberFormat="1" applyFont="1" applyBorder="1"/>
    <xf numFmtId="9" fontId="5" fillId="0" borderId="1" xfId="3" applyFont="1" applyBorder="1"/>
    <xf numFmtId="0" fontId="5" fillId="0" borderId="1" xfId="0" applyFont="1" applyBorder="1"/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3" fontId="7" fillId="0" borderId="1" xfId="0" applyNumberFormat="1" applyFont="1" applyBorder="1" applyAlignment="1"/>
    <xf numFmtId="0" fontId="7" fillId="0" borderId="1" xfId="0" applyFont="1" applyBorder="1" applyAlignment="1">
      <alignment horizontal="left"/>
    </xf>
    <xf numFmtId="3" fontId="20" fillId="0" borderId="1" xfId="0" applyNumberFormat="1" applyFont="1" applyBorder="1"/>
    <xf numFmtId="3" fontId="20" fillId="8" borderId="1" xfId="0" applyNumberFormat="1" applyFont="1" applyFill="1" applyBorder="1"/>
    <xf numFmtId="0" fontId="12" fillId="2" borderId="1" xfId="0" applyFont="1" applyFill="1" applyBorder="1"/>
    <xf numFmtId="3" fontId="12" fillId="2" borderId="1" xfId="1" applyNumberFormat="1" applyFont="1" applyFill="1" applyBorder="1"/>
    <xf numFmtId="3" fontId="5" fillId="2" borderId="1" xfId="0" applyNumberFormat="1" applyFont="1" applyFill="1" applyBorder="1" applyAlignment="1">
      <alignment horizontal="center"/>
    </xf>
    <xf numFmtId="10" fontId="5" fillId="0" borderId="1" xfId="3" applyNumberFormat="1" applyFont="1" applyBorder="1" applyAlignment="1">
      <alignment horizontal="center"/>
    </xf>
    <xf numFmtId="10" fontId="5" fillId="6" borderId="1" xfId="3" applyNumberFormat="1" applyFont="1" applyFill="1" applyBorder="1"/>
    <xf numFmtId="10" fontId="5" fillId="2" borderId="1" xfId="3" applyNumberFormat="1" applyFont="1" applyFill="1" applyBorder="1"/>
    <xf numFmtId="0" fontId="7" fillId="2" borderId="1" xfId="0" applyFont="1" applyFill="1" applyBorder="1" applyAlignment="1">
      <alignment wrapText="1"/>
    </xf>
    <xf numFmtId="0" fontId="7" fillId="0" borderId="1" xfId="2" applyFont="1" applyBorder="1" applyAlignment="1">
      <alignment wrapText="1"/>
    </xf>
    <xf numFmtId="9" fontId="7" fillId="0" borderId="1" xfId="3" applyFont="1" applyBorder="1"/>
    <xf numFmtId="3" fontId="5" fillId="2" borderId="1" xfId="0" applyNumberFormat="1" applyFont="1" applyFill="1" applyBorder="1"/>
    <xf numFmtId="3" fontId="7" fillId="2" borderId="1" xfId="0" applyNumberFormat="1" applyFont="1" applyFill="1" applyBorder="1"/>
    <xf numFmtId="0" fontId="5" fillId="6" borderId="1" xfId="0" applyFont="1" applyFill="1" applyBorder="1" applyAlignment="1">
      <alignment wrapText="1"/>
    </xf>
    <xf numFmtId="10" fontId="5" fillId="0" borderId="0" xfId="3" applyNumberFormat="1" applyFont="1"/>
    <xf numFmtId="0" fontId="7" fillId="0" borderId="1" xfId="0" applyFont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5" fillId="10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4" fontId="5" fillId="0" borderId="0" xfId="0" applyNumberFormat="1" applyFont="1"/>
    <xf numFmtId="4" fontId="5" fillId="2" borderId="0" xfId="0" applyNumberFormat="1" applyFont="1" applyFill="1"/>
    <xf numFmtId="4" fontId="7" fillId="0" borderId="0" xfId="3" applyNumberFormat="1" applyFont="1"/>
    <xf numFmtId="10" fontId="6" fillId="8" borderId="1" xfId="3" applyNumberFormat="1" applyFont="1" applyFill="1" applyBorder="1"/>
    <xf numFmtId="0" fontId="15" fillId="8" borderId="1" xfId="0" applyFont="1" applyFill="1" applyBorder="1" applyAlignment="1">
      <alignment horizontal="center"/>
    </xf>
    <xf numFmtId="0" fontId="7" fillId="8" borderId="1" xfId="0" applyFont="1" applyFill="1" applyBorder="1" applyAlignment="1">
      <alignment horizontal="center"/>
    </xf>
    <xf numFmtId="49" fontId="9" fillId="9" borderId="5" xfId="0" applyNumberFormat="1" applyFont="1" applyFill="1" applyBorder="1" applyAlignment="1" applyProtection="1">
      <alignment vertical="center" wrapText="1"/>
      <protection locked="0"/>
    </xf>
    <xf numFmtId="4" fontId="13" fillId="0" borderId="0" xfId="0" applyNumberFormat="1" applyFont="1"/>
    <xf numFmtId="0" fontId="7" fillId="2" borderId="1" xfId="0" applyFont="1" applyFill="1" applyBorder="1" applyAlignment="1">
      <alignment horizontal="left"/>
    </xf>
    <xf numFmtId="4" fontId="7" fillId="8" borderId="0" xfId="0" applyNumberFormat="1" applyFont="1" applyFill="1"/>
    <xf numFmtId="3" fontId="16" fillId="8" borderId="1" xfId="1" applyNumberFormat="1" applyFont="1" applyFill="1" applyBorder="1"/>
    <xf numFmtId="0" fontId="5" fillId="2" borderId="1" xfId="0" applyFont="1" applyFill="1" applyBorder="1" applyAlignment="1"/>
    <xf numFmtId="0" fontId="7" fillId="2" borderId="1" xfId="0" applyFont="1" applyFill="1" applyBorder="1" applyAlignment="1">
      <alignment horizontal="left" wrapText="1"/>
    </xf>
    <xf numFmtId="10" fontId="7" fillId="0" borderId="1" xfId="3" applyNumberFormat="1" applyFont="1" applyBorder="1"/>
    <xf numFmtId="3" fontId="7" fillId="8" borderId="1" xfId="0" applyNumberFormat="1" applyFont="1" applyFill="1" applyBorder="1"/>
    <xf numFmtId="10" fontId="5" fillId="0" borderId="1" xfId="3" applyNumberFormat="1" applyFont="1" applyBorder="1"/>
    <xf numFmtId="10" fontId="14" fillId="6" borderId="1" xfId="3" applyNumberFormat="1" applyFont="1" applyFill="1" applyBorder="1"/>
    <xf numFmtId="10" fontId="14" fillId="8" borderId="1" xfId="3" applyNumberFormat="1" applyFont="1" applyFill="1" applyBorder="1"/>
    <xf numFmtId="0" fontId="7" fillId="0" borderId="12" xfId="0" applyFont="1" applyBorder="1" applyAlignment="1">
      <alignment horizontal="center"/>
    </xf>
    <xf numFmtId="4" fontId="7" fillId="0" borderId="0" xfId="0" applyNumberFormat="1" applyFont="1" applyBorder="1"/>
    <xf numFmtId="49" fontId="13" fillId="9" borderId="0" xfId="0" applyNumberFormat="1" applyFont="1" applyFill="1" applyBorder="1" applyAlignment="1" applyProtection="1">
      <alignment horizontal="left" vertical="center" wrapText="1"/>
      <protection locked="0"/>
    </xf>
    <xf numFmtId="0" fontId="5" fillId="0" borderId="0" xfId="0" applyFont="1" applyAlignment="1"/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3" fontId="7" fillId="0" borderId="1" xfId="0" applyNumberFormat="1" applyFont="1" applyBorder="1" applyAlignment="1">
      <alignment vertical="center"/>
    </xf>
    <xf numFmtId="3" fontId="7" fillId="2" borderId="1" xfId="1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justify"/>
    </xf>
    <xf numFmtId="3" fontId="7" fillId="2" borderId="1" xfId="0" applyNumberFormat="1" applyFont="1" applyFill="1" applyBorder="1" applyAlignment="1">
      <alignment vertical="center"/>
    </xf>
    <xf numFmtId="0" fontId="5" fillId="2" borderId="4" xfId="0" applyFont="1" applyFill="1" applyBorder="1" applyAlignment="1">
      <alignment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right" vertical="center"/>
    </xf>
    <xf numFmtId="0" fontId="7" fillId="0" borderId="14" xfId="0" applyFont="1" applyBorder="1" applyAlignment="1"/>
    <xf numFmtId="3" fontId="5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horizontal="right"/>
    </xf>
    <xf numFmtId="0" fontId="6" fillId="3" borderId="13" xfId="0" applyFont="1" applyFill="1" applyBorder="1" applyAlignment="1"/>
    <xf numFmtId="0" fontId="6" fillId="3" borderId="11" xfId="0" applyFont="1" applyFill="1" applyBorder="1" applyAlignment="1">
      <alignment horizontal="left"/>
    </xf>
    <xf numFmtId="0" fontId="6" fillId="3" borderId="12" xfId="0" applyFont="1" applyFill="1" applyBorder="1" applyAlignment="1">
      <alignment horizontal="left"/>
    </xf>
    <xf numFmtId="0" fontId="6" fillId="3" borderId="6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/>
    </xf>
    <xf numFmtId="0" fontId="7" fillId="0" borderId="0" xfId="0" applyFont="1" applyAlignment="1">
      <alignment horizontal="right"/>
    </xf>
    <xf numFmtId="3" fontId="0" fillId="0" borderId="0" xfId="0" applyNumberFormat="1"/>
    <xf numFmtId="0" fontId="25" fillId="0" borderId="0" xfId="0" applyFont="1"/>
    <xf numFmtId="3" fontId="25" fillId="0" borderId="0" xfId="0" applyNumberFormat="1" applyFont="1"/>
    <xf numFmtId="0" fontId="1" fillId="0" borderId="0" xfId="0" applyFont="1"/>
    <xf numFmtId="3" fontId="24" fillId="0" borderId="0" xfId="0" applyNumberFormat="1" applyFont="1" applyFill="1" applyBorder="1" applyAlignment="1">
      <alignment horizontal="right" vertical="top" wrapText="1"/>
    </xf>
    <xf numFmtId="0" fontId="5" fillId="0" borderId="15" xfId="0" applyFont="1" applyBorder="1" applyAlignment="1">
      <alignment vertical="top" wrapText="1"/>
    </xf>
    <xf numFmtId="3" fontId="5" fillId="0" borderId="16" xfId="0" applyNumberFormat="1" applyFont="1" applyBorder="1" applyAlignment="1">
      <alignment horizontal="right" vertical="top" wrapText="1"/>
    </xf>
    <xf numFmtId="0" fontId="7" fillId="0" borderId="17" xfId="0" applyFont="1" applyBorder="1" applyAlignment="1">
      <alignment vertical="top" wrapText="1"/>
    </xf>
    <xf numFmtId="3" fontId="5" fillId="0" borderId="18" xfId="0" applyNumberFormat="1" applyFont="1" applyBorder="1" applyAlignment="1">
      <alignment horizontal="right" vertical="top" wrapText="1"/>
    </xf>
    <xf numFmtId="3" fontId="7" fillId="0" borderId="18" xfId="0" applyNumberFormat="1" applyFont="1" applyBorder="1" applyAlignment="1">
      <alignment horizontal="right" vertical="top" wrapText="1"/>
    </xf>
    <xf numFmtId="3" fontId="7" fillId="0" borderId="18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10" fontId="8" fillId="0" borderId="1" xfId="0" applyNumberFormat="1" applyFont="1" applyBorder="1" applyAlignment="1">
      <alignment vertical="center"/>
    </xf>
    <xf numFmtId="10" fontId="6" fillId="0" borderId="1" xfId="0" applyNumberFormat="1" applyFont="1" applyBorder="1" applyAlignment="1">
      <alignment vertical="center"/>
    </xf>
    <xf numFmtId="0" fontId="27" fillId="0" borderId="0" xfId="0" applyFont="1" applyBorder="1" applyAlignment="1"/>
    <xf numFmtId="0" fontId="27" fillId="0" borderId="0" xfId="0" applyFont="1" applyBorder="1" applyAlignment="1">
      <alignment horizontal="left"/>
    </xf>
    <xf numFmtId="0" fontId="27" fillId="0" borderId="0" xfId="0" applyFont="1" applyBorder="1" applyAlignment="1">
      <alignment horizontal="center"/>
    </xf>
    <xf numFmtId="0" fontId="27" fillId="0" borderId="0" xfId="0" applyFont="1" applyBorder="1" applyAlignment="1">
      <alignment vertical="center"/>
    </xf>
    <xf numFmtId="0" fontId="29" fillId="0" borderId="0" xfId="0" applyFont="1"/>
    <xf numFmtId="3" fontId="29" fillId="0" borderId="0" xfId="0" applyNumberFormat="1" applyFont="1"/>
    <xf numFmtId="10" fontId="29" fillId="0" borderId="0" xfId="3" applyNumberFormat="1" applyFont="1"/>
    <xf numFmtId="4" fontId="29" fillId="0" borderId="0" xfId="0" applyNumberFormat="1" applyFont="1"/>
    <xf numFmtId="0" fontId="28" fillId="0" borderId="0" xfId="0" applyFont="1"/>
    <xf numFmtId="0" fontId="28" fillId="2" borderId="1" xfId="0" applyFont="1" applyFill="1" applyBorder="1"/>
    <xf numFmtId="0" fontId="29" fillId="2" borderId="1" xfId="0" applyFont="1" applyFill="1" applyBorder="1"/>
    <xf numFmtId="0" fontId="28" fillId="2" borderId="1" xfId="0" applyFont="1" applyFill="1" applyBorder="1" applyAlignment="1"/>
    <xf numFmtId="0" fontId="28" fillId="2" borderId="1" xfId="0" applyFont="1" applyFill="1" applyBorder="1" applyAlignment="1">
      <alignment horizontal="center"/>
    </xf>
    <xf numFmtId="10" fontId="28" fillId="0" borderId="1" xfId="3" applyNumberFormat="1" applyFont="1" applyBorder="1" applyAlignment="1">
      <alignment horizontal="center"/>
    </xf>
    <xf numFmtId="0" fontId="30" fillId="10" borderId="1" xfId="0" applyFont="1" applyFill="1" applyBorder="1" applyAlignment="1">
      <alignment horizontal="center"/>
    </xf>
    <xf numFmtId="0" fontId="29" fillId="10" borderId="1" xfId="0" applyFont="1" applyFill="1" applyBorder="1"/>
    <xf numFmtId="49" fontId="31" fillId="11" borderId="3" xfId="0" applyNumberFormat="1" applyFont="1" applyFill="1" applyBorder="1" applyAlignment="1" applyProtection="1">
      <alignment horizontal="left" vertical="center" wrapText="1"/>
      <protection locked="0"/>
    </xf>
    <xf numFmtId="10" fontId="30" fillId="10" borderId="1" xfId="3" applyNumberFormat="1" applyFont="1" applyFill="1" applyBorder="1"/>
    <xf numFmtId="0" fontId="30" fillId="6" borderId="1" xfId="0" applyFont="1" applyFill="1" applyBorder="1" applyAlignment="1">
      <alignment horizontal="center"/>
    </xf>
    <xf numFmtId="0" fontId="28" fillId="6" borderId="1" xfId="0" applyFont="1" applyFill="1" applyBorder="1"/>
    <xf numFmtId="49" fontId="31" fillId="7" borderId="3" xfId="0" applyNumberFormat="1" applyFont="1" applyFill="1" applyBorder="1" applyAlignment="1" applyProtection="1">
      <alignment horizontal="left" vertical="center" wrapText="1"/>
      <protection locked="0"/>
    </xf>
    <xf numFmtId="10" fontId="28" fillId="6" borderId="1" xfId="3" applyNumberFormat="1" applyFont="1" applyFill="1" applyBorder="1"/>
    <xf numFmtId="4" fontId="28" fillId="0" borderId="0" xfId="0" applyNumberFormat="1" applyFont="1"/>
    <xf numFmtId="0" fontId="32" fillId="2" borderId="1" xfId="0" applyFont="1" applyFill="1" applyBorder="1" applyAlignment="1">
      <alignment horizontal="center"/>
    </xf>
    <xf numFmtId="0" fontId="29" fillId="0" borderId="1" xfId="0" applyFont="1" applyBorder="1" applyAlignment="1">
      <alignment horizontal="center"/>
    </xf>
    <xf numFmtId="49" fontId="33" fillId="5" borderId="5" xfId="0" applyNumberFormat="1" applyFont="1" applyFill="1" applyBorder="1" applyAlignment="1" applyProtection="1">
      <alignment horizontal="left" vertical="center" wrapText="1"/>
      <protection locked="0"/>
    </xf>
    <xf numFmtId="10" fontId="29" fillId="2" borderId="1" xfId="3" applyNumberFormat="1" applyFont="1" applyFill="1" applyBorder="1"/>
    <xf numFmtId="0" fontId="29" fillId="2" borderId="0" xfId="0" applyFont="1" applyFill="1"/>
    <xf numFmtId="4" fontId="29" fillId="2" borderId="0" xfId="0" applyNumberFormat="1" applyFont="1" applyFill="1"/>
    <xf numFmtId="0" fontId="29" fillId="2" borderId="1" xfId="0" applyFont="1" applyFill="1" applyBorder="1" applyAlignment="1">
      <alignment horizontal="center"/>
    </xf>
    <xf numFmtId="0" fontId="28" fillId="10" borderId="1" xfId="0" applyFont="1" applyFill="1" applyBorder="1" applyAlignment="1">
      <alignment horizontal="center"/>
    </xf>
    <xf numFmtId="0" fontId="28" fillId="6" borderId="1" xfId="0" applyFont="1" applyFill="1" applyBorder="1" applyAlignment="1">
      <alignment horizontal="center"/>
    </xf>
    <xf numFmtId="49" fontId="33" fillId="5" borderId="5" xfId="0" applyNumberFormat="1" applyFont="1" applyFill="1" applyBorder="1" applyAlignment="1" applyProtection="1">
      <alignment vertical="center" wrapText="1"/>
      <protection locked="0"/>
    </xf>
    <xf numFmtId="49" fontId="3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28" fillId="6" borderId="1" xfId="2" applyFont="1" applyFill="1" applyBorder="1" applyAlignment="1">
      <alignment wrapText="1"/>
    </xf>
    <xf numFmtId="0" fontId="28" fillId="8" borderId="1" xfId="0" applyFont="1" applyFill="1" applyBorder="1" applyAlignment="1">
      <alignment horizontal="center"/>
    </xf>
    <xf numFmtId="49" fontId="33" fillId="5" borderId="3" xfId="0" applyNumberFormat="1" applyFont="1" applyFill="1" applyBorder="1" applyAlignment="1" applyProtection="1">
      <alignment horizontal="center" vertical="center" wrapText="1"/>
      <protection locked="0"/>
    </xf>
    <xf numFmtId="0" fontId="28" fillId="8" borderId="0" xfId="0" applyFont="1" applyFill="1"/>
    <xf numFmtId="4" fontId="28" fillId="8" borderId="0" xfId="0" applyNumberFormat="1" applyFont="1" applyFill="1"/>
    <xf numFmtId="0" fontId="28" fillId="2" borderId="0" xfId="0" applyFont="1" applyFill="1"/>
    <xf numFmtId="41" fontId="28" fillId="2" borderId="0" xfId="0" applyNumberFormat="1" applyFont="1" applyFill="1"/>
    <xf numFmtId="4" fontId="28" fillId="2" borderId="0" xfId="0" applyNumberFormat="1" applyFont="1" applyFill="1"/>
    <xf numFmtId="0" fontId="28" fillId="10" borderId="1" xfId="0" applyFont="1" applyFill="1" applyBorder="1"/>
    <xf numFmtId="49" fontId="31" fillId="11" borderId="5" xfId="0" applyNumberFormat="1" applyFont="1" applyFill="1" applyBorder="1" applyAlignment="1" applyProtection="1">
      <alignment vertical="center" wrapText="1"/>
      <protection locked="0"/>
    </xf>
    <xf numFmtId="49" fontId="31" fillId="7" borderId="5" xfId="0" applyNumberFormat="1" applyFont="1" applyFill="1" applyBorder="1" applyAlignment="1" applyProtection="1">
      <alignment vertical="center" wrapText="1"/>
      <protection locked="0"/>
    </xf>
    <xf numFmtId="0" fontId="30" fillId="8" borderId="1" xfId="0" applyFont="1" applyFill="1" applyBorder="1" applyAlignment="1">
      <alignment horizontal="center"/>
    </xf>
    <xf numFmtId="0" fontId="28" fillId="8" borderId="1" xfId="0" applyFont="1" applyFill="1" applyBorder="1"/>
    <xf numFmtId="49" fontId="33" fillId="9" borderId="3" xfId="0" applyNumberFormat="1" applyFont="1" applyFill="1" applyBorder="1" applyAlignment="1" applyProtection="1">
      <alignment horizontal="left" vertical="center" wrapText="1"/>
      <protection locked="0"/>
    </xf>
    <xf numFmtId="0" fontId="30" fillId="2" borderId="1" xfId="0" applyFont="1" applyFill="1" applyBorder="1" applyAlignment="1">
      <alignment horizontal="center"/>
    </xf>
    <xf numFmtId="10" fontId="28" fillId="0" borderId="0" xfId="3" applyNumberFormat="1" applyFont="1"/>
    <xf numFmtId="10" fontId="30" fillId="6" borderId="1" xfId="3" applyNumberFormat="1" applyFont="1" applyFill="1" applyBorder="1"/>
    <xf numFmtId="41" fontId="29" fillId="2" borderId="0" xfId="0" applyNumberFormat="1" applyFont="1" applyFill="1"/>
    <xf numFmtId="9" fontId="29" fillId="0" borderId="0" xfId="3" applyFont="1"/>
    <xf numFmtId="0" fontId="29" fillId="6" borderId="1" xfId="0" applyFont="1" applyFill="1" applyBorder="1"/>
    <xf numFmtId="49" fontId="33" fillId="7" borderId="5" xfId="0" applyNumberFormat="1" applyFont="1" applyFill="1" applyBorder="1" applyAlignment="1" applyProtection="1">
      <alignment vertical="center" wrapText="1"/>
      <protection locked="0"/>
    </xf>
    <xf numFmtId="49" fontId="33" fillId="7" borderId="3" xfId="0" applyNumberFormat="1" applyFont="1" applyFill="1" applyBorder="1" applyAlignment="1" applyProtection="1">
      <alignment horizontal="left" vertical="center" wrapText="1"/>
      <protection locked="0"/>
    </xf>
    <xf numFmtId="10" fontId="29" fillId="6" borderId="1" xfId="3" applyNumberFormat="1" applyFont="1" applyFill="1" applyBorder="1"/>
    <xf numFmtId="0" fontId="29" fillId="10" borderId="0" xfId="0" applyFont="1" applyFill="1"/>
    <xf numFmtId="0" fontId="29" fillId="8" borderId="0" xfId="0" applyFont="1" applyFill="1"/>
    <xf numFmtId="41" fontId="29" fillId="0" borderId="0" xfId="0" applyNumberFormat="1" applyFont="1"/>
    <xf numFmtId="49" fontId="31" fillId="7" borderId="9" xfId="0" applyNumberFormat="1" applyFont="1" applyFill="1" applyBorder="1" applyAlignment="1" applyProtection="1">
      <alignment vertical="center" wrapText="1"/>
      <protection locked="0"/>
    </xf>
    <xf numFmtId="49" fontId="31" fillId="7" borderId="10" xfId="0" applyNumberFormat="1" applyFont="1" applyFill="1" applyBorder="1" applyAlignment="1" applyProtection="1">
      <alignment horizontal="left" vertical="center" wrapText="1"/>
      <protection locked="0"/>
    </xf>
    <xf numFmtId="0" fontId="29" fillId="2" borderId="6" xfId="0" applyFont="1" applyFill="1" applyBorder="1"/>
    <xf numFmtId="0" fontId="29" fillId="2" borderId="6" xfId="0" applyFont="1" applyFill="1" applyBorder="1" applyAlignment="1">
      <alignment horizontal="center"/>
    </xf>
    <xf numFmtId="49" fontId="33" fillId="5" borderId="7" xfId="0" applyNumberFormat="1" applyFont="1" applyFill="1" applyBorder="1" applyAlignment="1" applyProtection="1">
      <alignment vertical="center" wrapText="1"/>
      <protection locked="0"/>
    </xf>
    <xf numFmtId="49" fontId="33" fillId="5" borderId="8" xfId="0" applyNumberFormat="1" applyFont="1" applyFill="1" applyBorder="1" applyAlignment="1" applyProtection="1">
      <alignment horizontal="left" vertical="center" wrapText="1"/>
      <protection locked="0"/>
    </xf>
    <xf numFmtId="0" fontId="32" fillId="8" borderId="1" xfId="0" applyFont="1" applyFill="1" applyBorder="1" applyAlignment="1">
      <alignment horizontal="center"/>
    </xf>
    <xf numFmtId="0" fontId="29" fillId="8" borderId="1" xfId="0" applyFont="1" applyFill="1" applyBorder="1" applyAlignment="1">
      <alignment horizontal="center"/>
    </xf>
    <xf numFmtId="49" fontId="33" fillId="9" borderId="5" xfId="0" applyNumberFormat="1" applyFont="1" applyFill="1" applyBorder="1" applyAlignment="1" applyProtection="1">
      <alignment vertical="center" wrapText="1"/>
      <protection locked="0"/>
    </xf>
    <xf numFmtId="0" fontId="35" fillId="6" borderId="1" xfId="0" applyFont="1" applyFill="1" applyBorder="1" applyAlignment="1">
      <alignment horizontal="center"/>
    </xf>
    <xf numFmtId="0" fontId="31" fillId="6" borderId="1" xfId="0" applyFont="1" applyFill="1" applyBorder="1" applyAlignment="1">
      <alignment horizontal="center"/>
    </xf>
    <xf numFmtId="41" fontId="31" fillId="0" borderId="0" xfId="0" applyNumberFormat="1" applyFont="1"/>
    <xf numFmtId="0" fontId="31" fillId="0" borderId="0" xfId="0" applyFont="1"/>
    <xf numFmtId="4" fontId="31" fillId="0" borderId="0" xfId="0" applyNumberFormat="1" applyFont="1"/>
    <xf numFmtId="0" fontId="36" fillId="6" borderId="1" xfId="0" applyFont="1" applyFill="1" applyBorder="1"/>
    <xf numFmtId="0" fontId="29" fillId="2" borderId="2" xfId="0" applyFont="1" applyFill="1" applyBorder="1"/>
    <xf numFmtId="49" fontId="33" fillId="5" borderId="19" xfId="0" applyNumberFormat="1" applyFont="1" applyFill="1" applyBorder="1" applyAlignment="1" applyProtection="1">
      <alignment vertical="center" wrapText="1"/>
      <protection locked="0"/>
    </xf>
    <xf numFmtId="49" fontId="33" fillId="5" borderId="20" xfId="0" applyNumberFormat="1" applyFont="1" applyFill="1" applyBorder="1" applyAlignment="1" applyProtection="1">
      <alignment horizontal="left" vertical="center" wrapText="1"/>
      <protection locked="0"/>
    </xf>
    <xf numFmtId="0" fontId="28" fillId="10" borderId="6" xfId="0" applyFont="1" applyFill="1" applyBorder="1" applyAlignment="1">
      <alignment horizontal="center"/>
    </xf>
    <xf numFmtId="0" fontId="29" fillId="10" borderId="6" xfId="0" applyFont="1" applyFill="1" applyBorder="1"/>
    <xf numFmtId="0" fontId="29" fillId="10" borderId="6" xfId="0" applyFont="1" applyFill="1" applyBorder="1" applyAlignment="1">
      <alignment horizontal="center"/>
    </xf>
    <xf numFmtId="49" fontId="31" fillId="11" borderId="8" xfId="0" applyNumberFormat="1" applyFont="1" applyFill="1" applyBorder="1" applyAlignment="1" applyProtection="1">
      <alignment horizontal="left" vertical="center" wrapText="1"/>
      <protection locked="0"/>
    </xf>
    <xf numFmtId="0" fontId="30" fillId="3" borderId="1" xfId="0" applyFont="1" applyFill="1" applyBorder="1" applyAlignment="1">
      <alignment horizontal="center"/>
    </xf>
    <xf numFmtId="0" fontId="29" fillId="3" borderId="1" xfId="0" applyFont="1" applyFill="1" applyBorder="1"/>
    <xf numFmtId="0" fontId="37" fillId="3" borderId="1" xfId="0" applyFont="1" applyFill="1" applyBorder="1"/>
    <xf numFmtId="0" fontId="29" fillId="8" borderId="1" xfId="0" applyFont="1" applyFill="1" applyBorder="1"/>
    <xf numFmtId="0" fontId="29" fillId="10" borderId="1" xfId="0" applyFont="1" applyFill="1" applyBorder="1" applyAlignment="1">
      <alignment horizontal="center"/>
    </xf>
    <xf numFmtId="4" fontId="29" fillId="0" borderId="0" xfId="3" applyNumberFormat="1" applyFont="1"/>
    <xf numFmtId="0" fontId="30" fillId="4" borderId="1" xfId="0" applyFont="1" applyFill="1" applyBorder="1" applyAlignment="1">
      <alignment horizontal="center"/>
    </xf>
    <xf numFmtId="10" fontId="29" fillId="2" borderId="0" xfId="3" applyNumberFormat="1" applyFont="1" applyFill="1"/>
    <xf numFmtId="0" fontId="31" fillId="6" borderId="1" xfId="0" applyFont="1" applyFill="1" applyBorder="1"/>
    <xf numFmtId="0" fontId="29" fillId="2" borderId="1" xfId="0" applyFont="1" applyFill="1" applyBorder="1" applyAlignment="1">
      <alignment wrapText="1"/>
    </xf>
    <xf numFmtId="0" fontId="29" fillId="0" borderId="1" xfId="2" applyFont="1" applyBorder="1" applyAlignment="1">
      <alignment wrapText="1"/>
    </xf>
    <xf numFmtId="0" fontId="29" fillId="2" borderId="1" xfId="0" applyFont="1" applyFill="1" applyBorder="1" applyAlignment="1">
      <alignment horizontal="left"/>
    </xf>
    <xf numFmtId="0" fontId="29" fillId="2" borderId="1" xfId="0" applyFont="1" applyFill="1" applyBorder="1" applyAlignment="1">
      <alignment horizontal="left" wrapText="1"/>
    </xf>
    <xf numFmtId="0" fontId="33" fillId="8" borderId="1" xfId="0" applyFont="1" applyFill="1" applyBorder="1"/>
    <xf numFmtId="0" fontId="28" fillId="10" borderId="1" xfId="0" applyFont="1" applyFill="1" applyBorder="1" applyAlignment="1">
      <alignment wrapText="1"/>
    </xf>
    <xf numFmtId="10" fontId="29" fillId="10" borderId="1" xfId="3" applyNumberFormat="1" applyFont="1" applyFill="1" applyBorder="1"/>
    <xf numFmtId="3" fontId="29" fillId="2" borderId="0" xfId="0" applyNumberFormat="1" applyFont="1" applyFill="1"/>
    <xf numFmtId="4" fontId="29" fillId="8" borderId="0" xfId="0" applyNumberFormat="1" applyFont="1" applyFill="1"/>
    <xf numFmtId="10" fontId="29" fillId="8" borderId="1" xfId="3" applyNumberFormat="1" applyFont="1" applyFill="1" applyBorder="1"/>
    <xf numFmtId="0" fontId="30" fillId="2" borderId="1" xfId="0" applyFont="1" applyFill="1" applyBorder="1"/>
    <xf numFmtId="0" fontId="28" fillId="0" borderId="1" xfId="0" applyFont="1" applyBorder="1" applyAlignment="1">
      <alignment horizontal="center"/>
    </xf>
    <xf numFmtId="0" fontId="28" fillId="0" borderId="1" xfId="0" applyFont="1" applyBorder="1" applyAlignment="1">
      <alignment horizontal="center" vertical="center"/>
    </xf>
    <xf numFmtId="0" fontId="29" fillId="0" borderId="1" xfId="0" applyFont="1" applyBorder="1"/>
    <xf numFmtId="0" fontId="28" fillId="0" borderId="1" xfId="0" applyFont="1" applyBorder="1"/>
    <xf numFmtId="0" fontId="29" fillId="0" borderId="1" xfId="0" applyFont="1" applyBorder="1" applyAlignment="1">
      <alignment wrapText="1"/>
    </xf>
    <xf numFmtId="0" fontId="29" fillId="0" borderId="1" xfId="0" applyFont="1" applyBorder="1" applyAlignment="1">
      <alignment vertical="center" wrapText="1"/>
    </xf>
    <xf numFmtId="0" fontId="28" fillId="6" borderId="1" xfId="0" applyFont="1" applyFill="1" applyBorder="1" applyAlignment="1">
      <alignment wrapText="1"/>
    </xf>
    <xf numFmtId="0" fontId="28" fillId="0" borderId="1" xfId="0" applyFont="1" applyBorder="1" applyAlignment="1">
      <alignment wrapText="1"/>
    </xf>
    <xf numFmtId="0" fontId="29" fillId="0" borderId="2" xfId="0" applyFont="1" applyBorder="1" applyAlignment="1">
      <alignment vertical="center" wrapText="1"/>
    </xf>
    <xf numFmtId="0" fontId="29" fillId="0" borderId="1" xfId="0" applyFont="1" applyBorder="1" applyAlignment="1">
      <alignment horizontal="left" wrapText="1"/>
    </xf>
    <xf numFmtId="4" fontId="29" fillId="0" borderId="0" xfId="0" applyNumberFormat="1" applyFont="1" applyBorder="1"/>
    <xf numFmtId="49" fontId="31" fillId="9" borderId="0" xfId="0" applyNumberFormat="1" applyFont="1" applyFill="1" applyBorder="1" applyAlignment="1" applyProtection="1">
      <alignment horizontal="left" vertical="center" wrapText="1"/>
      <protection locked="0"/>
    </xf>
    <xf numFmtId="0" fontId="28" fillId="0" borderId="15" xfId="0" applyFont="1" applyBorder="1" applyAlignment="1">
      <alignment vertical="top" wrapText="1"/>
    </xf>
    <xf numFmtId="0" fontId="29" fillId="0" borderId="17" xfId="0" applyFont="1" applyBorder="1" applyAlignment="1">
      <alignment vertical="top" wrapText="1"/>
    </xf>
    <xf numFmtId="49" fontId="41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41" fillId="5" borderId="3" xfId="0" applyNumberFormat="1" applyFont="1" applyFill="1" applyBorder="1" applyAlignment="1" applyProtection="1">
      <alignment horizontal="left" vertical="center" wrapText="1"/>
      <protection locked="0"/>
    </xf>
    <xf numFmtId="49" fontId="41" fillId="9" borderId="3" xfId="0" applyNumberFormat="1" applyFont="1" applyFill="1" applyBorder="1" applyAlignment="1" applyProtection="1">
      <alignment horizontal="center" vertical="center" wrapText="1"/>
      <protection locked="0"/>
    </xf>
    <xf numFmtId="49" fontId="41" fillId="9" borderId="3" xfId="0" applyNumberFormat="1" applyFont="1" applyFill="1" applyBorder="1" applyAlignment="1" applyProtection="1">
      <alignment horizontal="left" vertical="center" wrapText="1"/>
      <protection locked="0"/>
    </xf>
    <xf numFmtId="0" fontId="28" fillId="12" borderId="1" xfId="0" applyFont="1" applyFill="1" applyBorder="1"/>
    <xf numFmtId="0" fontId="28" fillId="12" borderId="1" xfId="0" applyFont="1" applyFill="1" applyBorder="1" applyAlignment="1">
      <alignment horizontal="center"/>
    </xf>
    <xf numFmtId="49" fontId="42" fillId="13" borderId="3" xfId="0" applyNumberFormat="1" applyFont="1" applyFill="1" applyBorder="1" applyAlignment="1" applyProtection="1">
      <alignment horizontal="left" vertical="center" wrapText="1"/>
      <protection locked="0"/>
    </xf>
    <xf numFmtId="0" fontId="35" fillId="8" borderId="1" xfId="0" applyFont="1" applyFill="1" applyBorder="1" applyAlignment="1">
      <alignment horizontal="center"/>
    </xf>
    <xf numFmtId="0" fontId="31" fillId="8" borderId="1" xfId="0" applyFont="1" applyFill="1" applyBorder="1" applyAlignment="1">
      <alignment horizontal="center"/>
    </xf>
    <xf numFmtId="49" fontId="42" fillId="7" borderId="3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1" xfId="0" applyNumberFormat="1" applyFont="1" applyBorder="1"/>
    <xf numFmtId="4" fontId="30" fillId="10" borderId="1" xfId="1" applyNumberFormat="1" applyFont="1" applyFill="1" applyBorder="1"/>
    <xf numFmtId="4" fontId="28" fillId="6" borderId="1" xfId="1" applyNumberFormat="1" applyFont="1" applyFill="1" applyBorder="1"/>
    <xf numFmtId="4" fontId="28" fillId="10" borderId="1" xfId="1" applyNumberFormat="1" applyFont="1" applyFill="1" applyBorder="1"/>
    <xf numFmtId="4" fontId="28" fillId="10" borderId="1" xfId="1" applyNumberFormat="1" applyFont="1" applyFill="1" applyBorder="1" applyAlignment="1"/>
    <xf numFmtId="4" fontId="28" fillId="6" borderId="1" xfId="1" applyNumberFormat="1" applyFont="1" applyFill="1" applyBorder="1" applyAlignment="1"/>
    <xf numFmtId="4" fontId="30" fillId="6" borderId="1" xfId="1" applyNumberFormat="1" applyFont="1" applyFill="1" applyBorder="1"/>
    <xf numFmtId="4" fontId="38" fillId="12" borderId="1" xfId="0" applyNumberFormat="1" applyFont="1" applyFill="1" applyBorder="1"/>
    <xf numFmtId="4" fontId="34" fillId="8" borderId="1" xfId="0" applyNumberFormat="1" applyFont="1" applyFill="1" applyBorder="1"/>
    <xf numFmtId="4" fontId="31" fillId="6" borderId="1" xfId="1" applyNumberFormat="1" applyFont="1" applyFill="1" applyBorder="1"/>
    <xf numFmtId="4" fontId="34" fillId="0" borderId="2" xfId="0" applyNumberFormat="1" applyFont="1" applyBorder="1"/>
    <xf numFmtId="4" fontId="30" fillId="10" borderId="6" xfId="1" applyNumberFormat="1" applyFont="1" applyFill="1" applyBorder="1" applyAlignment="1">
      <alignment horizontal="right"/>
    </xf>
    <xf numFmtId="4" fontId="28" fillId="6" borderId="1" xfId="1" applyNumberFormat="1" applyFont="1" applyFill="1" applyBorder="1" applyAlignment="1">
      <alignment horizontal="right"/>
    </xf>
    <xf numFmtId="4" fontId="30" fillId="3" borderId="1" xfId="1" applyNumberFormat="1" applyFont="1" applyFill="1" applyBorder="1"/>
    <xf numFmtId="4" fontId="38" fillId="6" borderId="1" xfId="0" applyNumberFormat="1" applyFont="1" applyFill="1" applyBorder="1"/>
    <xf numFmtId="4" fontId="31" fillId="6" borderId="1" xfId="0" applyNumberFormat="1" applyFont="1" applyFill="1" applyBorder="1"/>
    <xf numFmtId="4" fontId="28" fillId="6" borderId="1" xfId="0" applyNumberFormat="1" applyFont="1" applyFill="1" applyBorder="1"/>
    <xf numFmtId="4" fontId="28" fillId="10" borderId="1" xfId="0" applyNumberFormat="1" applyFont="1" applyFill="1" applyBorder="1"/>
    <xf numFmtId="4" fontId="39" fillId="10" borderId="1" xfId="1" applyNumberFormat="1" applyFont="1" applyFill="1" applyBorder="1"/>
    <xf numFmtId="4" fontId="35" fillId="10" borderId="1" xfId="1" applyNumberFormat="1" applyFont="1" applyFill="1" applyBorder="1"/>
    <xf numFmtId="4" fontId="35" fillId="8" borderId="1" xfId="1" applyNumberFormat="1" applyFont="1" applyFill="1" applyBorder="1"/>
    <xf numFmtId="4" fontId="30" fillId="2" borderId="1" xfId="1" applyNumberFormat="1" applyFont="1" applyFill="1" applyBorder="1"/>
    <xf numFmtId="4" fontId="29" fillId="0" borderId="0" xfId="0" applyNumberFormat="1" applyFont="1" applyAlignment="1">
      <alignment horizontal="right"/>
    </xf>
    <xf numFmtId="0" fontId="29" fillId="0" borderId="1" xfId="0" applyFont="1" applyBorder="1" applyAlignment="1">
      <alignment horizontal="center"/>
    </xf>
    <xf numFmtId="0" fontId="28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vertical="center" wrapText="1"/>
    </xf>
    <xf numFmtId="0" fontId="28" fillId="0" borderId="0" xfId="0" applyFont="1" applyAlignment="1">
      <alignment vertical="center"/>
    </xf>
    <xf numFmtId="10" fontId="28" fillId="0" borderId="0" xfId="3" applyNumberFormat="1" applyFont="1" applyAlignment="1">
      <alignment vertical="center"/>
    </xf>
    <xf numFmtId="4" fontId="28" fillId="0" borderId="0" xfId="0" applyNumberFormat="1" applyFont="1" applyAlignment="1">
      <alignment vertical="center"/>
    </xf>
    <xf numFmtId="4" fontId="28" fillId="0" borderId="0" xfId="0" applyNumberFormat="1" applyFont="1" applyBorder="1"/>
    <xf numFmtId="4" fontId="27" fillId="0" borderId="0" xfId="0" applyNumberFormat="1" applyFont="1"/>
    <xf numFmtId="4" fontId="26" fillId="0" borderId="0" xfId="0" applyNumberFormat="1" applyFont="1"/>
    <xf numFmtId="4" fontId="34" fillId="6" borderId="1" xfId="0" applyNumberFormat="1" applyFont="1" applyFill="1" applyBorder="1"/>
    <xf numFmtId="4" fontId="34" fillId="14" borderId="1" xfId="0" applyNumberFormat="1" applyFont="1" applyFill="1" applyBorder="1"/>
    <xf numFmtId="4" fontId="38" fillId="8" borderId="1" xfId="0" applyNumberFormat="1" applyFont="1" applyFill="1" applyBorder="1"/>
    <xf numFmtId="4" fontId="31" fillId="8" borderId="1" xfId="1" applyNumberFormat="1" applyFont="1" applyFill="1" applyBorder="1"/>
    <xf numFmtId="49" fontId="29" fillId="9" borderId="5" xfId="0" applyNumberFormat="1" applyFont="1" applyFill="1" applyBorder="1" applyAlignment="1" applyProtection="1">
      <alignment vertical="center" wrapText="1"/>
      <protection locked="0"/>
    </xf>
    <xf numFmtId="49" fontId="29" fillId="9" borderId="3" xfId="0" applyNumberFormat="1" applyFont="1" applyFill="1" applyBorder="1" applyAlignment="1" applyProtection="1">
      <alignment horizontal="left" vertical="center" wrapText="1"/>
      <protection locked="0"/>
    </xf>
    <xf numFmtId="4" fontId="29" fillId="8" borderId="1" xfId="1" applyNumberFormat="1" applyFont="1" applyFill="1" applyBorder="1"/>
    <xf numFmtId="49" fontId="29" fillId="7" borderId="3" xfId="0" applyNumberFormat="1" applyFont="1" applyFill="1" applyBorder="1" applyAlignment="1" applyProtection="1">
      <alignment horizontal="left" vertical="center" wrapText="1"/>
      <protection locked="0"/>
    </xf>
    <xf numFmtId="4" fontId="28" fillId="8" borderId="1" xfId="1" applyNumberFormat="1" applyFont="1" applyFill="1" applyBorder="1"/>
    <xf numFmtId="0" fontId="8" fillId="0" borderId="0" xfId="5" applyFont="1" applyAlignment="1"/>
    <xf numFmtId="0" fontId="8" fillId="0" borderId="0" xfId="5" applyFont="1" applyAlignment="1">
      <alignment horizontal="right"/>
    </xf>
    <xf numFmtId="0" fontId="7" fillId="0" borderId="0" xfId="0" applyFont="1" applyAlignment="1">
      <alignment horizontal="center"/>
    </xf>
    <xf numFmtId="0" fontId="23" fillId="0" borderId="0" xfId="0" applyFont="1"/>
    <xf numFmtId="0" fontId="43" fillId="0" borderId="0" xfId="0" applyFont="1"/>
    <xf numFmtId="4" fontId="29" fillId="0" borderId="1" xfId="0" applyNumberFormat="1" applyFont="1" applyBorder="1"/>
    <xf numFmtId="4" fontId="44" fillId="0" borderId="1" xfId="0" applyNumberFormat="1" applyFont="1" applyBorder="1"/>
    <xf numFmtId="4" fontId="45" fillId="0" borderId="1" xfId="0" applyNumberFormat="1" applyFont="1" applyBorder="1"/>
    <xf numFmtId="4" fontId="28" fillId="15" borderId="1" xfId="1" applyNumberFormat="1" applyFont="1" applyFill="1" applyBorder="1"/>
    <xf numFmtId="4" fontId="29" fillId="15" borderId="1" xfId="1" applyNumberFormat="1" applyFont="1" applyFill="1" applyBorder="1"/>
    <xf numFmtId="4" fontId="34" fillId="15" borderId="1" xfId="0" applyNumberFormat="1" applyFont="1" applyFill="1" applyBorder="1"/>
    <xf numFmtId="4" fontId="28" fillId="2" borderId="1" xfId="0" applyNumberFormat="1" applyFont="1" applyFill="1" applyBorder="1" applyAlignment="1">
      <alignment horizontal="center" vertical="center" wrapText="1"/>
    </xf>
    <xf numFmtId="4" fontId="28" fillId="2" borderId="1" xfId="0" applyNumberFormat="1" applyFont="1" applyFill="1" applyBorder="1" applyAlignment="1">
      <alignment horizontal="center"/>
    </xf>
    <xf numFmtId="4" fontId="28" fillId="0" borderId="1" xfId="0" applyNumberFormat="1" applyFont="1" applyBorder="1" applyAlignment="1">
      <alignment horizontal="center"/>
    </xf>
    <xf numFmtId="4" fontId="28" fillId="10" borderId="0" xfId="0" applyNumberFormat="1" applyFont="1" applyFill="1" applyBorder="1" applyAlignment="1">
      <alignment horizontal="center" vertical="center"/>
    </xf>
    <xf numFmtId="4" fontId="28" fillId="0" borderId="1" xfId="0" applyNumberFormat="1" applyFont="1" applyBorder="1" applyAlignment="1">
      <alignment horizontal="center" vertical="center" wrapText="1"/>
    </xf>
    <xf numFmtId="4" fontId="28" fillId="0" borderId="0" xfId="0" applyNumberFormat="1" applyFont="1" applyBorder="1" applyAlignment="1">
      <alignment horizontal="center"/>
    </xf>
    <xf numFmtId="4" fontId="28" fillId="6" borderId="1" xfId="3" applyNumberFormat="1" applyFont="1" applyFill="1" applyBorder="1"/>
    <xf numFmtId="4" fontId="28" fillId="6" borderId="0" xfId="3" applyNumberFormat="1" applyFont="1" applyFill="1" applyBorder="1"/>
    <xf numFmtId="4" fontId="29" fillId="0" borderId="1" xfId="3" applyNumberFormat="1" applyFont="1" applyBorder="1"/>
    <xf numFmtId="4" fontId="29" fillId="0" borderId="0" xfId="3" applyNumberFormat="1" applyFont="1" applyBorder="1"/>
    <xf numFmtId="4" fontId="28" fillId="2" borderId="1" xfId="0" applyNumberFormat="1" applyFont="1" applyFill="1" applyBorder="1"/>
    <xf numFmtId="4" fontId="28" fillId="2" borderId="1" xfId="3" applyNumberFormat="1" applyFont="1" applyFill="1" applyBorder="1"/>
    <xf numFmtId="4" fontId="28" fillId="2" borderId="0" xfId="3" applyNumberFormat="1" applyFont="1" applyFill="1" applyBorder="1"/>
    <xf numFmtId="4" fontId="29" fillId="2" borderId="1" xfId="0" applyNumberFormat="1" applyFont="1" applyFill="1" applyBorder="1"/>
    <xf numFmtId="4" fontId="29" fillId="8" borderId="1" xfId="0" applyNumberFormat="1" applyFont="1" applyFill="1" applyBorder="1"/>
    <xf numFmtId="4" fontId="28" fillId="0" borderId="1" xfId="0" applyNumberFormat="1" applyFont="1" applyBorder="1"/>
    <xf numFmtId="4" fontId="28" fillId="0" borderId="1" xfId="3" applyNumberFormat="1" applyFont="1" applyBorder="1"/>
    <xf numFmtId="4" fontId="28" fillId="0" borderId="0" xfId="3" applyNumberFormat="1" applyFont="1" applyBorder="1"/>
    <xf numFmtId="4" fontId="40" fillId="0" borderId="0" xfId="0" applyNumberFormat="1" applyFont="1"/>
    <xf numFmtId="4" fontId="6" fillId="10" borderId="0" xfId="0" applyNumberFormat="1" applyFont="1" applyFill="1" applyBorder="1" applyAlignment="1">
      <alignment horizontal="center" vertical="center"/>
    </xf>
    <xf numFmtId="4" fontId="28" fillId="6" borderId="1" xfId="0" applyNumberFormat="1" applyFont="1" applyFill="1" applyBorder="1" applyAlignment="1"/>
    <xf numFmtId="4" fontId="29" fillId="0" borderId="0" xfId="0" applyNumberFormat="1" applyFont="1" applyBorder="1" applyAlignment="1">
      <alignment horizontal="center"/>
    </xf>
    <xf numFmtId="4" fontId="28" fillId="0" borderId="1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4" fontId="29" fillId="0" borderId="1" xfId="0" applyNumberFormat="1" applyFont="1" applyBorder="1" applyAlignment="1"/>
    <xf numFmtId="4" fontId="28" fillId="0" borderId="16" xfId="0" applyNumberFormat="1" applyFont="1" applyBorder="1" applyAlignment="1">
      <alignment horizontal="right" vertical="top" wrapText="1"/>
    </xf>
    <xf numFmtId="4" fontId="28" fillId="0" borderId="18" xfId="0" applyNumberFormat="1" applyFont="1" applyBorder="1" applyAlignment="1">
      <alignment horizontal="right" vertical="top" wrapText="1"/>
    </xf>
    <xf numFmtId="4" fontId="29" fillId="0" borderId="18" xfId="0" applyNumberFormat="1" applyFont="1" applyBorder="1" applyAlignment="1">
      <alignment horizontal="right" vertical="top" wrapText="1"/>
    </xf>
    <xf numFmtId="4" fontId="29" fillId="0" borderId="18" xfId="0" applyNumberFormat="1" applyFont="1" applyBorder="1" applyAlignment="1">
      <alignment horizontal="right" wrapText="1"/>
    </xf>
    <xf numFmtId="4" fontId="46" fillId="12" borderId="1" xfId="0" applyNumberFormat="1" applyFont="1" applyFill="1" applyBorder="1" applyAlignment="1">
      <alignment horizontal="right"/>
    </xf>
    <xf numFmtId="4" fontId="4" fillId="16" borderId="1" xfId="0" applyNumberFormat="1" applyFont="1" applyFill="1" applyBorder="1" applyAlignment="1">
      <alignment horizontal="right"/>
    </xf>
    <xf numFmtId="0" fontId="10" fillId="6" borderId="1" xfId="0" applyFont="1" applyFill="1" applyBorder="1"/>
    <xf numFmtId="0" fontId="4" fillId="6" borderId="1" xfId="0" applyFont="1" applyFill="1" applyBorder="1" applyAlignment="1">
      <alignment horizontal="center"/>
    </xf>
    <xf numFmtId="0" fontId="4" fillId="6" borderId="1" xfId="0" applyFont="1" applyFill="1" applyBorder="1"/>
    <xf numFmtId="4" fontId="4" fillId="6" borderId="1" xfId="0" applyNumberFormat="1" applyFont="1" applyFill="1" applyBorder="1" applyAlignment="1">
      <alignment horizontal="right"/>
    </xf>
    <xf numFmtId="0" fontId="46" fillId="10" borderId="1" xfId="0" applyFont="1" applyFill="1" applyBorder="1" applyAlignment="1">
      <alignment horizontal="center"/>
    </xf>
    <xf numFmtId="0" fontId="4" fillId="10" borderId="1" xfId="0" applyFont="1" applyFill="1" applyBorder="1" applyAlignment="1">
      <alignment horizontal="center"/>
    </xf>
    <xf numFmtId="0" fontId="10" fillId="10" borderId="1" xfId="0" applyFont="1" applyFill="1" applyBorder="1"/>
    <xf numFmtId="0" fontId="46" fillId="10" borderId="1" xfId="0" applyFont="1" applyFill="1" applyBorder="1" applyAlignment="1"/>
    <xf numFmtId="4" fontId="46" fillId="10" borderId="1" xfId="0" applyNumberFormat="1" applyFont="1" applyFill="1" applyBorder="1" applyAlignment="1">
      <alignment horizontal="right"/>
    </xf>
    <xf numFmtId="164" fontId="29" fillId="2" borderId="0" xfId="0" applyNumberFormat="1" applyFont="1" applyFill="1"/>
    <xf numFmtId="164" fontId="29" fillId="0" borderId="0" xfId="0" applyNumberFormat="1" applyFo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wrapText="1"/>
    </xf>
    <xf numFmtId="0" fontId="5" fillId="0" borderId="0" xfId="6" applyFont="1" applyAlignment="1">
      <alignment horizontal="center" wrapText="1"/>
    </xf>
    <xf numFmtId="0" fontId="7" fillId="0" borderId="0" xfId="6" applyFont="1" applyAlignment="1">
      <alignment wrapText="1"/>
    </xf>
    <xf numFmtId="0" fontId="47" fillId="0" borderId="0" xfId="6" applyFont="1"/>
    <xf numFmtId="0" fontId="7" fillId="0" borderId="0" xfId="6" applyFont="1"/>
    <xf numFmtId="0" fontId="5" fillId="0" borderId="0" xfId="6" applyFont="1"/>
    <xf numFmtId="0" fontId="9" fillId="0" borderId="0" xfId="0" applyNumberFormat="1" applyFont="1" applyFill="1" applyBorder="1" applyAlignment="1" applyProtection="1">
      <alignment horizontal="left"/>
      <protection locked="0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9" fillId="0" borderId="0" xfId="0" applyNumberFormat="1" applyFont="1" applyFill="1" applyBorder="1" applyAlignment="1" applyProtection="1">
      <alignment horizontal="left"/>
      <protection locked="0"/>
    </xf>
    <xf numFmtId="0" fontId="7" fillId="0" borderId="0" xfId="0" applyFont="1" applyAlignment="1">
      <alignment wrapText="1"/>
    </xf>
    <xf numFmtId="0" fontId="49" fillId="0" borderId="0" xfId="0" applyFont="1" applyAlignment="1"/>
    <xf numFmtId="0" fontId="9" fillId="0" borderId="0" xfId="0" applyNumberFormat="1" applyFont="1" applyFill="1" applyBorder="1" applyAlignment="1" applyProtection="1">
      <alignment horizontal="left"/>
      <protection locked="0"/>
    </xf>
    <xf numFmtId="0" fontId="10" fillId="8" borderId="0" xfId="0" applyFont="1" applyFill="1"/>
    <xf numFmtId="0" fontId="10" fillId="8" borderId="0" xfId="0" applyFont="1" applyFill="1" applyAlignment="1">
      <alignment wrapText="1"/>
    </xf>
    <xf numFmtId="0" fontId="9" fillId="0" borderId="0" xfId="0" applyNumberFormat="1" applyFont="1" applyFill="1" applyBorder="1" applyAlignment="1" applyProtection="1">
      <alignment horizontal="left"/>
      <protection locked="0"/>
    </xf>
    <xf numFmtId="0" fontId="53" fillId="0" borderId="0" xfId="0" applyFont="1" applyAlignment="1">
      <alignment wrapText="1"/>
    </xf>
    <xf numFmtId="0" fontId="49" fillId="0" borderId="0" xfId="0" applyFont="1"/>
    <xf numFmtId="0" fontId="5" fillId="0" borderId="0" xfId="0" applyFont="1" applyAlignment="1">
      <alignment horizontal="left" vertical="center"/>
    </xf>
    <xf numFmtId="0" fontId="26" fillId="0" borderId="0" xfId="0" applyFont="1" applyAlignment="1"/>
    <xf numFmtId="0" fontId="51" fillId="8" borderId="0" xfId="0" applyFont="1" applyFill="1" applyAlignment="1">
      <alignment vertical="center" wrapText="1"/>
    </xf>
    <xf numFmtId="0" fontId="47" fillId="0" borderId="0" xfId="0" applyFont="1"/>
    <xf numFmtId="0" fontId="48" fillId="8" borderId="0" xfId="0" applyFont="1" applyFill="1" applyAlignment="1">
      <alignment horizontal="left"/>
    </xf>
    <xf numFmtId="0" fontId="49" fillId="0" borderId="0" xfId="0" applyFont="1" applyAlignment="1">
      <alignment horizontal="center" vertical="center"/>
    </xf>
    <xf numFmtId="0" fontId="49" fillId="0" borderId="0" xfId="0" applyFont="1" applyAlignment="1">
      <alignment horizontal="left" vertical="center"/>
    </xf>
    <xf numFmtId="0" fontId="54" fillId="0" borderId="0" xfId="0" applyFont="1" applyAlignment="1">
      <alignment horizontal="left" vertical="center"/>
    </xf>
    <xf numFmtId="0" fontId="54" fillId="0" borderId="0" xfId="0" applyFont="1"/>
    <xf numFmtId="0" fontId="49" fillId="8" borderId="0" xfId="0" applyFont="1" applyFill="1"/>
    <xf numFmtId="0" fontId="50" fillId="0" borderId="0" xfId="0" applyFont="1"/>
    <xf numFmtId="3" fontId="49" fillId="0" borderId="0" xfId="0" applyNumberFormat="1" applyFont="1"/>
    <xf numFmtId="0" fontId="48" fillId="8" borderId="0" xfId="0" applyFont="1" applyFill="1"/>
    <xf numFmtId="0" fontId="50" fillId="8" borderId="0" xfId="0" applyFont="1" applyFill="1"/>
    <xf numFmtId="0" fontId="48" fillId="0" borderId="0" xfId="0" applyFont="1" applyAlignment="1">
      <alignment horizontal="right"/>
    </xf>
    <xf numFmtId="0" fontId="48" fillId="0" borderId="0" xfId="0" applyFont="1" applyAlignment="1">
      <alignment horizontal="justify"/>
    </xf>
    <xf numFmtId="4" fontId="49" fillId="0" borderId="0" xfId="0" applyNumberFormat="1" applyFont="1"/>
    <xf numFmtId="0" fontId="54" fillId="0" borderId="0" xfId="0" applyFont="1" applyAlignment="1">
      <alignment horizontal="center"/>
    </xf>
    <xf numFmtId="0" fontId="43" fillId="8" borderId="0" xfId="0" applyFont="1" applyFill="1"/>
    <xf numFmtId="4" fontId="43" fillId="0" borderId="0" xfId="0" applyNumberFormat="1" applyFont="1"/>
    <xf numFmtId="3" fontId="10" fillId="0" borderId="0" xfId="0" applyNumberFormat="1" applyFont="1" applyAlignment="1">
      <alignment wrapText="1"/>
    </xf>
    <xf numFmtId="0" fontId="50" fillId="8" borderId="1" xfId="0" applyFont="1" applyFill="1" applyBorder="1" applyAlignment="1">
      <alignment vertical="center" wrapText="1"/>
    </xf>
    <xf numFmtId="0" fontId="9" fillId="0" borderId="0" xfId="0" applyNumberFormat="1" applyFont="1" applyFill="1" applyBorder="1" applyAlignment="1" applyProtection="1">
      <alignment horizontal="left"/>
      <protection locked="0"/>
    </xf>
    <xf numFmtId="0" fontId="48" fillId="8" borderId="32" xfId="0" applyFont="1" applyFill="1" applyBorder="1" applyAlignment="1">
      <alignment horizontal="center" vertical="center" wrapText="1"/>
    </xf>
    <xf numFmtId="0" fontId="48" fillId="8" borderId="1" xfId="0" applyFont="1" applyFill="1" applyBorder="1" applyAlignment="1">
      <alignment horizontal="center" vertical="center" wrapText="1"/>
    </xf>
    <xf numFmtId="0" fontId="48" fillId="8" borderId="30" xfId="0" applyFont="1" applyFill="1" applyBorder="1" applyAlignment="1">
      <alignment horizontal="center" vertical="center" wrapText="1"/>
    </xf>
    <xf numFmtId="3" fontId="50" fillId="8" borderId="30" xfId="0" applyNumberFormat="1" applyFont="1" applyFill="1" applyBorder="1" applyAlignment="1">
      <alignment vertical="center" wrapText="1"/>
    </xf>
    <xf numFmtId="0" fontId="50" fillId="8" borderId="34" xfId="0" applyFont="1" applyFill="1" applyBorder="1" applyAlignment="1">
      <alignment vertical="center" wrapText="1"/>
    </xf>
    <xf numFmtId="3" fontId="50" fillId="8" borderId="35" xfId="0" applyNumberFormat="1" applyFont="1" applyFill="1" applyBorder="1" applyAlignment="1">
      <alignment vertical="center" wrapText="1"/>
    </xf>
    <xf numFmtId="3" fontId="48" fillId="8" borderId="43" xfId="0" applyNumberFormat="1" applyFont="1" applyFill="1" applyBorder="1" applyAlignment="1">
      <alignment horizontal="center" vertical="center" wrapText="1"/>
    </xf>
    <xf numFmtId="3" fontId="48" fillId="8" borderId="44" xfId="0" applyNumberFormat="1" applyFont="1" applyFill="1" applyBorder="1" applyAlignment="1">
      <alignment horizontal="center" vertical="center" wrapText="1"/>
    </xf>
    <xf numFmtId="0" fontId="56" fillId="0" borderId="0" xfId="0" applyNumberFormat="1" applyFont="1" applyFill="1" applyBorder="1" applyAlignment="1" applyProtection="1">
      <alignment horizontal="left"/>
      <protection locked="0"/>
    </xf>
    <xf numFmtId="49" fontId="59" fillId="5" borderId="0" xfId="0" applyNumberFormat="1" applyFont="1" applyFill="1" applyAlignment="1" applyProtection="1">
      <alignment horizontal="center" vertical="center" wrapText="1"/>
      <protection locked="0"/>
    </xf>
    <xf numFmtId="49" fontId="60" fillId="9" borderId="43" xfId="0" applyNumberFormat="1" applyFont="1" applyFill="1" applyBorder="1" applyAlignment="1" applyProtection="1">
      <alignment horizontal="center" vertical="center" wrapText="1"/>
      <protection locked="0"/>
    </xf>
    <xf numFmtId="49" fontId="61" fillId="5" borderId="6" xfId="0" applyNumberFormat="1" applyFont="1" applyFill="1" applyBorder="1" applyAlignment="1" applyProtection="1">
      <alignment horizontal="center" vertical="center" wrapText="1"/>
      <protection locked="0"/>
    </xf>
    <xf numFmtId="49" fontId="63" fillId="7" borderId="1" xfId="0" applyNumberFormat="1" applyFont="1" applyFill="1" applyBorder="1" applyAlignment="1" applyProtection="1">
      <alignment horizontal="center" vertical="center" wrapText="1"/>
      <protection locked="0"/>
    </xf>
    <xf numFmtId="49" fontId="56" fillId="5" borderId="1" xfId="0" applyNumberFormat="1" applyFont="1" applyFill="1" applyBorder="1" applyAlignment="1" applyProtection="1">
      <alignment horizontal="left" vertical="center" wrapText="1"/>
      <protection locked="0"/>
    </xf>
    <xf numFmtId="49" fontId="56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59" fillId="0" borderId="1" xfId="0" applyFont="1" applyBorder="1" applyAlignment="1">
      <alignment horizontal="left" vertical="center" wrapText="1"/>
    </xf>
    <xf numFmtId="0" fontId="56" fillId="0" borderId="2" xfId="0" applyNumberFormat="1" applyFont="1" applyFill="1" applyBorder="1" applyAlignment="1" applyProtection="1">
      <alignment horizontal="left" vertical="center" wrapText="1"/>
      <protection locked="0"/>
    </xf>
    <xf numFmtId="0" fontId="56" fillId="0" borderId="2" xfId="0" applyNumberFormat="1" applyFont="1" applyFill="1" applyBorder="1" applyAlignment="1" applyProtection="1">
      <alignment horizontal="center" vertical="center"/>
      <protection locked="0"/>
    </xf>
    <xf numFmtId="0" fontId="62" fillId="6" borderId="43" xfId="0" applyNumberFormat="1" applyFont="1" applyFill="1" applyBorder="1" applyAlignment="1" applyProtection="1">
      <protection locked="0"/>
    </xf>
    <xf numFmtId="0" fontId="59" fillId="0" borderId="0" xfId="0" applyFont="1"/>
    <xf numFmtId="0" fontId="65" fillId="0" borderId="1" xfId="6" applyFont="1" applyBorder="1" applyAlignment="1">
      <alignment horizontal="center" wrapText="1"/>
    </xf>
    <xf numFmtId="0" fontId="59" fillId="0" borderId="1" xfId="6" applyFont="1" applyBorder="1" applyAlignment="1">
      <alignment horizontal="center" wrapText="1"/>
    </xf>
    <xf numFmtId="0" fontId="65" fillId="12" borderId="1" xfId="6" applyFont="1" applyFill="1" applyBorder="1" applyAlignment="1">
      <alignment horizontal="center" wrapText="1"/>
    </xf>
    <xf numFmtId="0" fontId="65" fillId="12" borderId="1" xfId="6" applyFont="1" applyFill="1" applyBorder="1" applyAlignment="1">
      <alignment wrapText="1"/>
    </xf>
    <xf numFmtId="4" fontId="65" fillId="12" borderId="1" xfId="6" applyNumberFormat="1" applyFont="1" applyFill="1" applyBorder="1" applyAlignment="1">
      <alignment vertical="center" wrapText="1"/>
    </xf>
    <xf numFmtId="0" fontId="65" fillId="6" borderId="1" xfId="6" applyFont="1" applyFill="1" applyBorder="1" applyAlignment="1">
      <alignment horizontal="center" wrapText="1"/>
    </xf>
    <xf numFmtId="0" fontId="65" fillId="6" borderId="1" xfId="6" applyFont="1" applyFill="1" applyBorder="1" applyAlignment="1">
      <alignment wrapText="1"/>
    </xf>
    <xf numFmtId="4" fontId="65" fillId="6" borderId="1" xfId="6" applyNumberFormat="1" applyFont="1" applyFill="1" applyBorder="1" applyAlignment="1">
      <alignment vertical="center" wrapText="1"/>
    </xf>
    <xf numFmtId="49" fontId="59" fillId="0" borderId="1" xfId="6" applyNumberFormat="1" applyFont="1" applyBorder="1" applyAlignment="1">
      <alignment horizontal="center" vertical="center" wrapText="1"/>
    </xf>
    <xf numFmtId="0" fontId="59" fillId="0" borderId="1" xfId="6" applyFont="1" applyBorder="1" applyAlignment="1">
      <alignment horizontal="left" vertical="center" wrapText="1"/>
    </xf>
    <xf numFmtId="4" fontId="59" fillId="0" borderId="1" xfId="6" applyNumberFormat="1" applyFont="1" applyBorder="1" applyAlignment="1">
      <alignment vertical="center" wrapText="1"/>
    </xf>
    <xf numFmtId="0" fontId="65" fillId="10" borderId="1" xfId="6" applyFont="1" applyFill="1" applyBorder="1" applyAlignment="1">
      <alignment horizontal="center" wrapText="1"/>
    </xf>
    <xf numFmtId="49" fontId="65" fillId="10" borderId="1" xfId="6" applyNumberFormat="1" applyFont="1" applyFill="1" applyBorder="1" applyAlignment="1">
      <alignment horizontal="center" vertical="center" wrapText="1"/>
    </xf>
    <xf numFmtId="0" fontId="65" fillId="10" borderId="1" xfId="6" applyFont="1" applyFill="1" applyBorder="1" applyAlignment="1">
      <alignment horizontal="left" vertical="center" wrapText="1"/>
    </xf>
    <xf numFmtId="4" fontId="65" fillId="10" borderId="1" xfId="6" applyNumberFormat="1" applyFont="1" applyFill="1" applyBorder="1" applyAlignment="1">
      <alignment vertical="center" wrapText="1"/>
    </xf>
    <xf numFmtId="0" fontId="65" fillId="12" borderId="1" xfId="6" applyFont="1" applyFill="1" applyBorder="1" applyAlignment="1">
      <alignment horizontal="center" vertical="center" wrapText="1"/>
    </xf>
    <xf numFmtId="49" fontId="65" fillId="12" borderId="1" xfId="6" applyNumberFormat="1" applyFont="1" applyFill="1" applyBorder="1" applyAlignment="1">
      <alignment horizontal="center" vertical="center" wrapText="1"/>
    </xf>
    <xf numFmtId="0" fontId="65" fillId="12" borderId="1" xfId="6" applyFont="1" applyFill="1" applyBorder="1" applyAlignment="1">
      <alignment horizontal="left" vertical="center" wrapText="1"/>
    </xf>
    <xf numFmtId="0" fontId="65" fillId="10" borderId="1" xfId="6" applyFont="1" applyFill="1" applyBorder="1" applyAlignment="1">
      <alignment horizontal="center" vertical="center" wrapText="1"/>
    </xf>
    <xf numFmtId="0" fontId="65" fillId="6" borderId="1" xfId="6" applyFont="1" applyFill="1" applyBorder="1" applyAlignment="1">
      <alignment horizontal="center" vertical="center" wrapText="1"/>
    </xf>
    <xf numFmtId="49" fontId="65" fillId="6" borderId="1" xfId="6" applyNumberFormat="1" applyFont="1" applyFill="1" applyBorder="1" applyAlignment="1">
      <alignment horizontal="center" vertical="center" wrapText="1"/>
    </xf>
    <xf numFmtId="0" fontId="65" fillId="6" borderId="1" xfId="6" applyFont="1" applyFill="1" applyBorder="1" applyAlignment="1">
      <alignment horizontal="left" vertical="center" wrapText="1"/>
    </xf>
    <xf numFmtId="0" fontId="65" fillId="19" borderId="1" xfId="6" applyFont="1" applyFill="1" applyBorder="1" applyAlignment="1">
      <alignment horizontal="center" wrapText="1"/>
    </xf>
    <xf numFmtId="0" fontId="65" fillId="19" borderId="1" xfId="6" applyFont="1" applyFill="1" applyBorder="1" applyAlignment="1">
      <alignment horizontal="center" vertical="center" wrapText="1"/>
    </xf>
    <xf numFmtId="0" fontId="56" fillId="19" borderId="1" xfId="0" applyNumberFormat="1" applyFont="1" applyFill="1" applyBorder="1" applyAlignment="1" applyProtection="1">
      <alignment horizontal="left" vertical="center" wrapText="1"/>
    </xf>
    <xf numFmtId="4" fontId="65" fillId="19" borderId="1" xfId="6" applyNumberFormat="1" applyFont="1" applyFill="1" applyBorder="1" applyAlignment="1">
      <alignment vertical="center" wrapText="1"/>
    </xf>
    <xf numFmtId="0" fontId="65" fillId="8" borderId="1" xfId="6" applyFont="1" applyFill="1" applyBorder="1" applyAlignment="1">
      <alignment horizontal="center" wrapText="1"/>
    </xf>
    <xf numFmtId="49" fontId="59" fillId="8" borderId="1" xfId="6" applyNumberFormat="1" applyFont="1" applyFill="1" applyBorder="1" applyAlignment="1">
      <alignment horizontal="center" vertical="center" wrapText="1"/>
    </xf>
    <xf numFmtId="0" fontId="56" fillId="8" borderId="1" xfId="0" applyNumberFormat="1" applyFont="1" applyFill="1" applyBorder="1" applyAlignment="1" applyProtection="1">
      <alignment horizontal="left" vertical="center" wrapText="1"/>
    </xf>
    <xf numFmtId="4" fontId="59" fillId="8" borderId="1" xfId="6" applyNumberFormat="1" applyFont="1" applyFill="1" applyBorder="1" applyAlignment="1">
      <alignment vertical="center" wrapText="1"/>
    </xf>
    <xf numFmtId="0" fontId="59" fillId="0" borderId="1" xfId="6" applyFont="1" applyBorder="1" applyAlignment="1">
      <alignment horizontal="center" vertical="center" wrapText="1"/>
    </xf>
    <xf numFmtId="0" fontId="59" fillId="0" borderId="1" xfId="6" applyFont="1" applyBorder="1" applyAlignment="1">
      <alignment vertical="center" wrapText="1"/>
    </xf>
    <xf numFmtId="0" fontId="59" fillId="0" borderId="1" xfId="6" applyFont="1" applyBorder="1" applyAlignment="1">
      <alignment wrapText="1"/>
    </xf>
    <xf numFmtId="0" fontId="62" fillId="6" borderId="1" xfId="0" applyFont="1" applyFill="1" applyBorder="1"/>
    <xf numFmtId="4" fontId="65" fillId="0" borderId="1" xfId="6" applyNumberFormat="1" applyFont="1" applyBorder="1" applyAlignment="1">
      <alignment vertical="center" wrapText="1"/>
    </xf>
    <xf numFmtId="0" fontId="59" fillId="0" borderId="1" xfId="0" applyFont="1" applyBorder="1" applyAlignment="1">
      <alignment horizontal="justify" vertical="center" wrapText="1"/>
    </xf>
    <xf numFmtId="0" fontId="65" fillId="0" borderId="1" xfId="0" applyFont="1" applyBorder="1" applyAlignment="1">
      <alignment horizontal="justify" vertical="center" wrapText="1"/>
    </xf>
    <xf numFmtId="0" fontId="65" fillId="0" borderId="30" xfId="0" applyFont="1" applyBorder="1" applyAlignment="1">
      <alignment horizontal="center" vertical="center" wrapText="1"/>
    </xf>
    <xf numFmtId="3" fontId="59" fillId="0" borderId="30" xfId="0" applyNumberFormat="1" applyFont="1" applyBorder="1" applyAlignment="1">
      <alignment horizontal="center" vertical="center" wrapText="1"/>
    </xf>
    <xf numFmtId="0" fontId="59" fillId="0" borderId="1" xfId="0" applyFont="1" applyBorder="1" applyAlignment="1">
      <alignment horizontal="center" vertical="center" wrapText="1"/>
    </xf>
    <xf numFmtId="0" fontId="59" fillId="19" borderId="6" xfId="0" applyFont="1" applyFill="1" applyBorder="1" applyAlignment="1">
      <alignment horizontal="center" vertical="center" wrapText="1"/>
    </xf>
    <xf numFmtId="0" fontId="59" fillId="19" borderId="52" xfId="0" applyFont="1" applyFill="1" applyBorder="1" applyAlignment="1">
      <alignment horizontal="center" vertical="center" wrapText="1"/>
    </xf>
    <xf numFmtId="0" fontId="59" fillId="19" borderId="1" xfId="0" applyFont="1" applyFill="1" applyBorder="1" applyAlignment="1">
      <alignment horizontal="center" vertical="center" wrapText="1"/>
    </xf>
    <xf numFmtId="0" fontId="59" fillId="19" borderId="30" xfId="0" applyFont="1" applyFill="1" applyBorder="1" applyAlignment="1">
      <alignment horizontal="center" vertical="center" wrapText="1"/>
    </xf>
    <xf numFmtId="3" fontId="65" fillId="6" borderId="34" xfId="0" applyNumberFormat="1" applyFont="1" applyFill="1" applyBorder="1" applyAlignment="1">
      <alignment horizontal="center" vertical="center" wrapText="1"/>
    </xf>
    <xf numFmtId="3" fontId="65" fillId="6" borderId="35" xfId="0" applyNumberFormat="1" applyFont="1" applyFill="1" applyBorder="1" applyAlignment="1">
      <alignment horizontal="center" vertical="center" wrapText="1"/>
    </xf>
    <xf numFmtId="0" fontId="57" fillId="0" borderId="0" xfId="0" applyFont="1" applyAlignment="1">
      <alignment wrapText="1"/>
    </xf>
    <xf numFmtId="0" fontId="67" fillId="2" borderId="0" xfId="0" applyFont="1" applyFill="1" applyAlignment="1">
      <alignment vertical="center" wrapText="1"/>
    </xf>
    <xf numFmtId="0" fontId="65" fillId="0" borderId="0" xfId="0" applyFont="1" applyAlignment="1">
      <alignment horizontal="center" vertical="center"/>
    </xf>
    <xf numFmtId="0" fontId="68" fillId="0" borderId="0" xfId="0" applyFont="1"/>
    <xf numFmtId="0" fontId="57" fillId="0" borderId="53" xfId="0" applyFont="1" applyBorder="1" applyAlignment="1">
      <alignment horizontal="center"/>
    </xf>
    <xf numFmtId="0" fontId="57" fillId="0" borderId="4" xfId="0" applyFont="1" applyBorder="1" applyAlignment="1">
      <alignment horizontal="center"/>
    </xf>
    <xf numFmtId="0" fontId="57" fillId="0" borderId="55" xfId="0" applyFont="1" applyBorder="1" applyAlignment="1">
      <alignment horizontal="center"/>
    </xf>
    <xf numFmtId="0" fontId="70" fillId="0" borderId="34" xfId="0" applyFont="1" applyBorder="1" applyAlignment="1">
      <alignment horizontal="center" vertical="center"/>
    </xf>
    <xf numFmtId="49" fontId="57" fillId="0" borderId="34" xfId="0" applyNumberFormat="1" applyFont="1" applyBorder="1" applyAlignment="1">
      <alignment horizontal="left" vertical="top" wrapText="1"/>
    </xf>
    <xf numFmtId="4" fontId="57" fillId="0" borderId="34" xfId="0" applyNumberFormat="1" applyFont="1" applyBorder="1" applyAlignment="1">
      <alignment vertical="center"/>
    </xf>
    <xf numFmtId="4" fontId="57" fillId="0" borderId="35" xfId="0" applyNumberFormat="1" applyFont="1" applyBorder="1" applyAlignment="1">
      <alignment vertical="center"/>
    </xf>
    <xf numFmtId="0" fontId="57" fillId="0" borderId="57" xfId="0" applyFont="1" applyBorder="1" applyAlignment="1">
      <alignment horizontal="center" vertical="center"/>
    </xf>
    <xf numFmtId="0" fontId="70" fillId="0" borderId="6" xfId="0" applyFont="1" applyBorder="1" applyAlignment="1">
      <alignment horizontal="center" vertical="center"/>
    </xf>
    <xf numFmtId="49" fontId="57" fillId="0" borderId="45" xfId="0" applyNumberFormat="1" applyFont="1" applyBorder="1" applyAlignment="1">
      <alignment vertical="center"/>
    </xf>
    <xf numFmtId="4" fontId="57" fillId="0" borderId="6" xfId="0" applyNumberFormat="1" applyFont="1" applyBorder="1" applyAlignment="1">
      <alignment vertical="center"/>
    </xf>
    <xf numFmtId="4" fontId="57" fillId="0" borderId="59" xfId="0" applyNumberFormat="1" applyFont="1" applyBorder="1" applyAlignment="1">
      <alignment vertical="center"/>
    </xf>
    <xf numFmtId="0" fontId="70" fillId="0" borderId="1" xfId="0" applyFont="1" applyBorder="1" applyAlignment="1">
      <alignment horizontal="center" vertical="center"/>
    </xf>
    <xf numFmtId="49" fontId="57" fillId="0" borderId="46" xfId="0" applyNumberFormat="1" applyFont="1" applyBorder="1" applyAlignment="1">
      <alignment vertical="center"/>
    </xf>
    <xf numFmtId="4" fontId="57" fillId="0" borderId="1" xfId="0" applyNumberFormat="1" applyFont="1" applyBorder="1" applyAlignment="1">
      <alignment vertical="center"/>
    </xf>
    <xf numFmtId="4" fontId="57" fillId="0" borderId="58" xfId="0" applyNumberFormat="1" applyFont="1" applyBorder="1" applyAlignment="1">
      <alignment vertical="center"/>
    </xf>
    <xf numFmtId="0" fontId="70" fillId="0" borderId="2" xfId="0" applyFont="1" applyBorder="1" applyAlignment="1">
      <alignment horizontal="center" vertical="center"/>
    </xf>
    <xf numFmtId="4" fontId="57" fillId="0" borderId="2" xfId="0" applyNumberFormat="1" applyFont="1" applyBorder="1" applyAlignment="1">
      <alignment vertical="center"/>
    </xf>
    <xf numFmtId="49" fontId="57" fillId="0" borderId="34" xfId="0" applyNumberFormat="1" applyFont="1" applyBorder="1" applyAlignment="1">
      <alignment vertical="center"/>
    </xf>
    <xf numFmtId="0" fontId="70" fillId="6" borderId="60" xfId="0" applyFont="1" applyFill="1" applyBorder="1" applyAlignment="1">
      <alignment vertical="center"/>
    </xf>
    <xf numFmtId="0" fontId="70" fillId="6" borderId="47" xfId="0" applyFont="1" applyFill="1" applyBorder="1" applyAlignment="1">
      <alignment horizontal="center" vertical="center"/>
    </xf>
    <xf numFmtId="0" fontId="70" fillId="6" borderId="44" xfId="0" applyFont="1" applyFill="1" applyBorder="1" applyAlignment="1">
      <alignment horizontal="center" vertical="center"/>
    </xf>
    <xf numFmtId="0" fontId="70" fillId="19" borderId="15" xfId="0" applyFont="1" applyFill="1" applyBorder="1" applyAlignment="1">
      <alignment horizontal="center" vertical="center"/>
    </xf>
    <xf numFmtId="4" fontId="70" fillId="19" borderId="43" xfId="0" applyNumberFormat="1" applyFont="1" applyFill="1" applyBorder="1" applyAlignment="1">
      <alignment vertical="center"/>
    </xf>
    <xf numFmtId="4" fontId="70" fillId="19" borderId="16" xfId="0" applyNumberFormat="1" applyFont="1" applyFill="1" applyBorder="1" applyAlignment="1">
      <alignment vertical="center"/>
    </xf>
    <xf numFmtId="4" fontId="70" fillId="19" borderId="44" xfId="0" applyNumberFormat="1" applyFont="1" applyFill="1" applyBorder="1" applyAlignment="1">
      <alignment vertical="center"/>
    </xf>
    <xf numFmtId="4" fontId="66" fillId="6" borderId="43" xfId="0" applyNumberFormat="1" applyFont="1" applyFill="1" applyBorder="1" applyAlignment="1">
      <alignment vertical="center"/>
    </xf>
    <xf numFmtId="4" fontId="66" fillId="6" borderId="44" xfId="0" applyNumberFormat="1" applyFont="1" applyFill="1" applyBorder="1" applyAlignment="1">
      <alignment vertical="center"/>
    </xf>
    <xf numFmtId="0" fontId="59" fillId="0" borderId="0" xfId="0" applyFont="1" applyAlignment="1">
      <alignment vertical="center"/>
    </xf>
    <xf numFmtId="0" fontId="70" fillId="8" borderId="0" xfId="0" applyFont="1" applyFill="1" applyAlignment="1">
      <alignment horizontal="left"/>
    </xf>
    <xf numFmtId="0" fontId="59" fillId="8" borderId="0" xfId="0" applyFont="1" applyFill="1" applyAlignment="1">
      <alignment vertical="center"/>
    </xf>
    <xf numFmtId="0" fontId="57" fillId="8" borderId="0" xfId="0" applyFont="1" applyFill="1" applyAlignment="1">
      <alignment wrapText="1"/>
    </xf>
    <xf numFmtId="0" fontId="59" fillId="8" borderId="0" xfId="0" applyFont="1" applyFill="1" applyAlignment="1">
      <alignment horizontal="left"/>
    </xf>
    <xf numFmtId="0" fontId="71" fillId="0" borderId="0" xfId="0" applyFont="1" applyAlignment="1">
      <alignment horizontal="center" vertical="center"/>
    </xf>
    <xf numFmtId="0" fontId="73" fillId="0" borderId="0" xfId="0" applyFont="1" applyAlignment="1">
      <alignment horizontal="right" vertical="center"/>
    </xf>
    <xf numFmtId="0" fontId="73" fillId="0" borderId="32" xfId="0" applyFont="1" applyBorder="1" applyAlignment="1">
      <alignment horizontal="center" vertical="center"/>
    </xf>
    <xf numFmtId="0" fontId="73" fillId="0" borderId="1" xfId="0" applyFont="1" applyBorder="1" applyAlignment="1">
      <alignment horizontal="center" vertical="center"/>
    </xf>
    <xf numFmtId="3" fontId="73" fillId="0" borderId="1" xfId="0" applyNumberFormat="1" applyFont="1" applyBorder="1" applyAlignment="1">
      <alignment horizontal="center" vertical="center"/>
    </xf>
    <xf numFmtId="0" fontId="73" fillId="0" borderId="30" xfId="0" applyFont="1" applyBorder="1" applyAlignment="1">
      <alignment horizontal="center" vertical="center"/>
    </xf>
    <xf numFmtId="0" fontId="59" fillId="0" borderId="32" xfId="0" applyFont="1" applyBorder="1" applyAlignment="1">
      <alignment vertical="center"/>
    </xf>
    <xf numFmtId="0" fontId="65" fillId="19" borderId="1" xfId="0" applyFont="1" applyFill="1" applyBorder="1" applyAlignment="1">
      <alignment horizontal="center" vertical="center"/>
    </xf>
    <xf numFmtId="49" fontId="62" fillId="20" borderId="1" xfId="0" applyNumberFormat="1" applyFont="1" applyFill="1" applyBorder="1" applyAlignment="1" applyProtection="1">
      <alignment vertical="center" wrapText="1"/>
      <protection locked="0"/>
    </xf>
    <xf numFmtId="4" fontId="65" fillId="19" borderId="1" xfId="0" applyNumberFormat="1" applyFont="1" applyFill="1" applyBorder="1" applyAlignment="1">
      <alignment horizontal="right" vertical="center"/>
    </xf>
    <xf numFmtId="4" fontId="65" fillId="0" borderId="1" xfId="0" applyNumberFormat="1" applyFont="1" applyBorder="1" applyAlignment="1">
      <alignment horizontal="center" vertical="center"/>
    </xf>
    <xf numFmtId="4" fontId="65" fillId="0" borderId="1" xfId="0" applyNumberFormat="1" applyFont="1" applyBorder="1" applyAlignment="1">
      <alignment vertical="center"/>
    </xf>
    <xf numFmtId="4" fontId="65" fillId="0" borderId="30" xfId="0" applyNumberFormat="1" applyFont="1" applyBorder="1" applyAlignment="1">
      <alignment vertical="center"/>
    </xf>
    <xf numFmtId="0" fontId="59" fillId="0" borderId="1" xfId="0" applyFont="1" applyBorder="1" applyAlignment="1">
      <alignment horizontal="center" vertical="center"/>
    </xf>
    <xf numFmtId="0" fontId="65" fillId="0" borderId="1" xfId="0" applyFont="1" applyBorder="1" applyAlignment="1">
      <alignment horizontal="center" vertical="center"/>
    </xf>
    <xf numFmtId="49" fontId="56" fillId="9" borderId="1" xfId="0" applyNumberFormat="1" applyFont="1" applyFill="1" applyBorder="1" applyAlignment="1" applyProtection="1">
      <alignment vertical="center" wrapText="1"/>
      <protection locked="0"/>
    </xf>
    <xf numFmtId="4" fontId="59" fillId="0" borderId="1" xfId="0" applyNumberFormat="1" applyFont="1" applyBorder="1" applyAlignment="1">
      <alignment horizontal="right" vertical="center"/>
    </xf>
    <xf numFmtId="4" fontId="59" fillId="0" borderId="1" xfId="0" applyNumberFormat="1" applyFont="1" applyBorder="1" applyAlignment="1">
      <alignment horizontal="center" vertical="center"/>
    </xf>
    <xf numFmtId="4" fontId="59" fillId="0" borderId="1" xfId="0" applyNumberFormat="1" applyFont="1" applyBorder="1" applyAlignment="1">
      <alignment vertical="center"/>
    </xf>
    <xf numFmtId="4" fontId="59" fillId="0" borderId="30" xfId="0" applyNumberFormat="1" applyFont="1" applyBorder="1" applyAlignment="1">
      <alignment vertical="center"/>
    </xf>
    <xf numFmtId="0" fontId="65" fillId="6" borderId="1" xfId="0" applyFont="1" applyFill="1" applyBorder="1" applyAlignment="1">
      <alignment horizontal="center" vertical="center"/>
    </xf>
    <xf numFmtId="49" fontId="62" fillId="7" borderId="1" xfId="0" applyNumberFormat="1" applyFont="1" applyFill="1" applyBorder="1" applyAlignment="1" applyProtection="1">
      <alignment vertical="center" wrapText="1"/>
      <protection locked="0"/>
    </xf>
    <xf numFmtId="4" fontId="65" fillId="6" borderId="1" xfId="0" applyNumberFormat="1" applyFont="1" applyFill="1" applyBorder="1" applyAlignment="1">
      <alignment horizontal="right" vertical="center"/>
    </xf>
    <xf numFmtId="4" fontId="65" fillId="6" borderId="30" xfId="0" applyNumberFormat="1" applyFont="1" applyFill="1" applyBorder="1" applyAlignment="1">
      <alignment vertical="center"/>
    </xf>
    <xf numFmtId="49" fontId="56" fillId="5" borderId="1" xfId="0" applyNumberFormat="1" applyFont="1" applyFill="1" applyBorder="1" applyAlignment="1" applyProtection="1">
      <alignment vertical="center" wrapText="1"/>
      <protection locked="0"/>
    </xf>
    <xf numFmtId="0" fontId="65" fillId="0" borderId="32" xfId="0" applyFont="1" applyBorder="1" applyAlignment="1">
      <alignment vertical="center"/>
    </xf>
    <xf numFmtId="0" fontId="65" fillId="6" borderId="32" xfId="0" applyFont="1" applyFill="1" applyBorder="1" applyAlignment="1">
      <alignment horizontal="center" vertical="center"/>
    </xf>
    <xf numFmtId="0" fontId="65" fillId="6" borderId="1" xfId="0" applyFont="1" applyFill="1" applyBorder="1" applyAlignment="1">
      <alignment vertical="center"/>
    </xf>
    <xf numFmtId="0" fontId="59" fillId="0" borderId="1" xfId="0" applyFont="1" applyBorder="1" applyAlignment="1">
      <alignment vertical="center"/>
    </xf>
    <xf numFmtId="0" fontId="59" fillId="0" borderId="1" xfId="0" applyFont="1" applyBorder="1" applyAlignment="1">
      <alignment vertical="center" wrapText="1"/>
    </xf>
    <xf numFmtId="4" fontId="59" fillId="0" borderId="0" xfId="0" applyNumberFormat="1" applyFont="1" applyAlignment="1">
      <alignment vertical="center"/>
    </xf>
    <xf numFmtId="0" fontId="65" fillId="6" borderId="36" xfId="0" applyFont="1" applyFill="1" applyBorder="1" applyAlignment="1">
      <alignment horizontal="center" vertical="center"/>
    </xf>
    <xf numFmtId="0" fontId="65" fillId="6" borderId="27" xfId="0" applyFont="1" applyFill="1" applyBorder="1" applyAlignment="1">
      <alignment horizontal="center" vertical="center"/>
    </xf>
    <xf numFmtId="0" fontId="65" fillId="6" borderId="27" xfId="0" applyFont="1" applyFill="1" applyBorder="1" applyAlignment="1">
      <alignment horizontal="center" vertical="center" wrapText="1"/>
    </xf>
    <xf numFmtId="0" fontId="59" fillId="6" borderId="27" xfId="0" applyFont="1" applyFill="1" applyBorder="1" applyAlignment="1">
      <alignment horizontal="center" vertical="center"/>
    </xf>
    <xf numFmtId="0" fontId="59" fillId="6" borderId="27" xfId="0" applyFont="1" applyFill="1" applyBorder="1" applyAlignment="1">
      <alignment vertical="center"/>
    </xf>
    <xf numFmtId="0" fontId="65" fillId="6" borderId="28" xfId="0" applyFont="1" applyFill="1" applyBorder="1" applyAlignment="1">
      <alignment vertical="center" wrapText="1"/>
    </xf>
    <xf numFmtId="4" fontId="65" fillId="6" borderId="30" xfId="0" applyNumberFormat="1" applyFont="1" applyFill="1" applyBorder="1" applyAlignment="1">
      <alignment horizontal="right" vertical="center"/>
    </xf>
    <xf numFmtId="0" fontId="59" fillId="19" borderId="32" xfId="0" applyFont="1" applyFill="1" applyBorder="1" applyAlignment="1">
      <alignment vertical="center"/>
    </xf>
    <xf numFmtId="4" fontId="65" fillId="19" borderId="1" xfId="0" applyNumberFormat="1" applyFont="1" applyFill="1" applyBorder="1" applyAlignment="1">
      <alignment horizontal="center" vertical="center"/>
    </xf>
    <xf numFmtId="4" fontId="65" fillId="19" borderId="1" xfId="0" applyNumberFormat="1" applyFont="1" applyFill="1" applyBorder="1" applyAlignment="1">
      <alignment vertical="center"/>
    </xf>
    <xf numFmtId="4" fontId="65" fillId="19" borderId="30" xfId="0" applyNumberFormat="1" applyFont="1" applyFill="1" applyBorder="1" applyAlignment="1">
      <alignment vertical="center"/>
    </xf>
    <xf numFmtId="0" fontId="65" fillId="19" borderId="1" xfId="0" applyFont="1" applyFill="1" applyBorder="1" applyAlignment="1">
      <alignment vertical="center"/>
    </xf>
    <xf numFmtId="49" fontId="65" fillId="19" borderId="1" xfId="0" applyNumberFormat="1" applyFont="1" applyFill="1" applyBorder="1" applyAlignment="1">
      <alignment vertical="center"/>
    </xf>
    <xf numFmtId="49" fontId="62" fillId="20" borderId="3" xfId="0" applyNumberFormat="1" applyFont="1" applyFill="1" applyBorder="1" applyAlignment="1" applyProtection="1">
      <alignment horizontal="left" vertical="center" wrapText="1"/>
      <protection locked="0"/>
    </xf>
    <xf numFmtId="0" fontId="59" fillId="0" borderId="0" xfId="0" applyFont="1" applyAlignment="1">
      <alignment horizontal="center" vertical="center"/>
    </xf>
    <xf numFmtId="0" fontId="65" fillId="0" borderId="0" xfId="0" applyFont="1" applyAlignment="1">
      <alignment horizontal="left" vertical="center"/>
    </xf>
    <xf numFmtId="0" fontId="59" fillId="0" borderId="0" xfId="0" applyFont="1" applyAlignment="1">
      <alignment horizontal="left" vertical="center"/>
    </xf>
    <xf numFmtId="0" fontId="77" fillId="0" borderId="32" xfId="0" applyFont="1" applyBorder="1" applyAlignment="1">
      <alignment horizontal="center" vertical="center" wrapText="1"/>
    </xf>
    <xf numFmtId="0" fontId="77" fillId="0" borderId="30" xfId="0" applyFont="1" applyBorder="1" applyAlignment="1">
      <alignment horizontal="center" vertical="center" wrapText="1"/>
    </xf>
    <xf numFmtId="0" fontId="78" fillId="19" borderId="1" xfId="0" applyFont="1" applyFill="1" applyBorder="1" applyAlignment="1">
      <alignment horizontal="center" vertical="center" wrapText="1"/>
    </xf>
    <xf numFmtId="4" fontId="78" fillId="19" borderId="1" xfId="0" applyNumberFormat="1" applyFont="1" applyFill="1" applyBorder="1" applyAlignment="1">
      <alignment vertical="center" wrapText="1"/>
    </xf>
    <xf numFmtId="3" fontId="82" fillId="0" borderId="1" xfId="0" applyNumberFormat="1" applyFont="1" applyBorder="1" applyAlignment="1">
      <alignment horizontal="right" vertical="center" wrapText="1"/>
    </xf>
    <xf numFmtId="3" fontId="83" fillId="17" borderId="1" xfId="0" applyNumberFormat="1" applyFont="1" applyFill="1" applyBorder="1" applyAlignment="1">
      <alignment horizontal="right" vertical="center" wrapText="1"/>
    </xf>
    <xf numFmtId="3" fontId="83" fillId="18" borderId="1" xfId="0" applyNumberFormat="1" applyFont="1" applyFill="1" applyBorder="1" applyAlignment="1">
      <alignment horizontal="right" vertical="center" wrapText="1"/>
    </xf>
    <xf numFmtId="3" fontId="59" fillId="0" borderId="0" xfId="0" applyNumberFormat="1" applyFont="1"/>
    <xf numFmtId="0" fontId="78" fillId="19" borderId="1" xfId="0" applyFont="1" applyFill="1" applyBorder="1" applyAlignment="1">
      <alignment horizontal="left" vertical="center" wrapText="1"/>
    </xf>
    <xf numFmtId="0" fontId="57" fillId="8" borderId="32" xfId="0" applyFont="1" applyFill="1" applyBorder="1" applyAlignment="1">
      <alignment horizontal="center" vertical="center"/>
    </xf>
    <xf numFmtId="0" fontId="57" fillId="8" borderId="1" xfId="0" applyFont="1" applyFill="1" applyBorder="1" applyAlignment="1">
      <alignment horizontal="center" vertical="center"/>
    </xf>
    <xf numFmtId="0" fontId="70" fillId="8" borderId="1" xfId="0" applyFont="1" applyFill="1" applyBorder="1" applyAlignment="1">
      <alignment horizontal="left" vertical="center" wrapText="1"/>
    </xf>
    <xf numFmtId="0" fontId="57" fillId="8" borderId="1" xfId="0" applyFont="1" applyFill="1" applyBorder="1" applyAlignment="1">
      <alignment horizontal="left" vertical="center" wrapText="1"/>
    </xf>
    <xf numFmtId="4" fontId="57" fillId="8" borderId="1" xfId="0" applyNumberFormat="1" applyFont="1" applyFill="1" applyBorder="1" applyAlignment="1">
      <alignment horizontal="right" vertical="center"/>
    </xf>
    <xf numFmtId="4" fontId="79" fillId="8" borderId="1" xfId="0" applyNumberFormat="1" applyFont="1" applyFill="1" applyBorder="1" applyAlignment="1">
      <alignment horizontal="right" vertical="center" wrapText="1"/>
    </xf>
    <xf numFmtId="4" fontId="79" fillId="8" borderId="30" xfId="0" applyNumberFormat="1" applyFont="1" applyFill="1" applyBorder="1" applyAlignment="1">
      <alignment horizontal="right" vertical="center" wrapText="1"/>
    </xf>
    <xf numFmtId="4" fontId="79" fillId="8" borderId="1" xfId="0" applyNumberFormat="1" applyFont="1" applyFill="1" applyBorder="1" applyAlignment="1">
      <alignment horizontal="right" vertical="center"/>
    </xf>
    <xf numFmtId="4" fontId="57" fillId="8" borderId="1" xfId="0" applyNumberFormat="1" applyFont="1" applyFill="1" applyBorder="1" applyAlignment="1">
      <alignment horizontal="right" vertical="center" wrapText="1"/>
    </xf>
    <xf numFmtId="49" fontId="57" fillId="8" borderId="32" xfId="0" applyNumberFormat="1" applyFont="1" applyFill="1" applyBorder="1" applyAlignment="1">
      <alignment horizontal="center" vertical="center"/>
    </xf>
    <xf numFmtId="49" fontId="57" fillId="8" borderId="1" xfId="0" applyNumberFormat="1" applyFont="1" applyFill="1" applyBorder="1" applyAlignment="1">
      <alignment horizontal="center" vertical="center"/>
    </xf>
    <xf numFmtId="4" fontId="57" fillId="8" borderId="30" xfId="0" applyNumberFormat="1" applyFont="1" applyFill="1" applyBorder="1" applyAlignment="1">
      <alignment horizontal="right" vertical="center" wrapText="1"/>
    </xf>
    <xf numFmtId="0" fontId="80" fillId="8" borderId="1" xfId="0" applyFont="1" applyFill="1" applyBorder="1" applyAlignment="1">
      <alignment horizontal="left" vertical="center" wrapText="1"/>
    </xf>
    <xf numFmtId="0" fontId="57" fillId="8" borderId="1" xfId="0" applyFont="1" applyFill="1" applyBorder="1" applyAlignment="1">
      <alignment vertical="center" wrapText="1"/>
    </xf>
    <xf numFmtId="0" fontId="59" fillId="8" borderId="0" xfId="0" applyFont="1" applyFill="1" applyAlignment="1">
      <alignment wrapText="1"/>
    </xf>
    <xf numFmtId="4" fontId="79" fillId="8" borderId="1" xfId="0" applyNumberFormat="1" applyFont="1" applyFill="1" applyBorder="1" applyAlignment="1">
      <alignment horizontal="left" vertical="center" wrapText="1"/>
    </xf>
    <xf numFmtId="0" fontId="70" fillId="0" borderId="0" xfId="0" applyFont="1"/>
    <xf numFmtId="0" fontId="65" fillId="0" borderId="0" xfId="0" applyFont="1"/>
    <xf numFmtId="0" fontId="64" fillId="0" borderId="0" xfId="0" applyFont="1"/>
    <xf numFmtId="0" fontId="85" fillId="0" borderId="0" xfId="0" applyFont="1"/>
    <xf numFmtId="0" fontId="86" fillId="0" borderId="32" xfId="0" applyFont="1" applyBorder="1" applyAlignment="1">
      <alignment horizontal="center" vertical="center" wrapText="1"/>
    </xf>
    <xf numFmtId="0" fontId="86" fillId="0" borderId="1" xfId="0" applyFont="1" applyBorder="1" applyAlignment="1">
      <alignment horizontal="center" vertical="center" wrapText="1"/>
    </xf>
    <xf numFmtId="0" fontId="87" fillId="0" borderId="1" xfId="0" applyFont="1" applyBorder="1" applyAlignment="1">
      <alignment horizontal="center" vertical="center" wrapText="1"/>
    </xf>
    <xf numFmtId="0" fontId="88" fillId="0" borderId="1" xfId="0" applyFont="1" applyBorder="1" applyAlignment="1">
      <alignment horizontal="center" vertical="center" wrapText="1"/>
    </xf>
    <xf numFmtId="0" fontId="88" fillId="0" borderId="30" xfId="0" applyFont="1" applyBorder="1" applyAlignment="1">
      <alignment horizontal="center" vertical="center" wrapText="1"/>
    </xf>
    <xf numFmtId="0" fontId="73" fillId="8" borderId="32" xfId="0" applyFont="1" applyFill="1" applyBorder="1" applyAlignment="1">
      <alignment horizontal="center" vertical="center" wrapText="1"/>
    </xf>
    <xf numFmtId="49" fontId="89" fillId="21" borderId="1" xfId="0" applyNumberFormat="1" applyFont="1" applyFill="1" applyBorder="1" applyAlignment="1">
      <alignment horizontal="left" vertical="center" wrapText="1"/>
    </xf>
    <xf numFmtId="0" fontId="59" fillId="8" borderId="1" xfId="0" applyFont="1" applyFill="1" applyBorder="1" applyAlignment="1">
      <alignment horizontal="left" vertical="center" wrapText="1"/>
    </xf>
    <xf numFmtId="4" fontId="59" fillId="8" borderId="1" xfId="0" applyNumberFormat="1" applyFont="1" applyFill="1" applyBorder="1" applyAlignment="1">
      <alignment horizontal="right" vertical="center" wrapText="1"/>
    </xf>
    <xf numFmtId="4" fontId="59" fillId="21" borderId="1" xfId="0" applyNumberFormat="1" applyFont="1" applyFill="1" applyBorder="1" applyAlignment="1">
      <alignment horizontal="right" vertical="center" wrapText="1"/>
    </xf>
    <xf numFmtId="4" fontId="90" fillId="8" borderId="1" xfId="0" applyNumberFormat="1" applyFont="1" applyFill="1" applyBorder="1" applyAlignment="1">
      <alignment horizontal="right" wrapText="1"/>
    </xf>
    <xf numFmtId="4" fontId="90" fillId="8" borderId="1" xfId="0" applyNumberFormat="1" applyFont="1" applyFill="1" applyBorder="1" applyAlignment="1">
      <alignment horizontal="right" vertical="center" wrapText="1"/>
    </xf>
    <xf numFmtId="0" fontId="73" fillId="8" borderId="30" xfId="0" applyFont="1" applyFill="1" applyBorder="1" applyAlignment="1">
      <alignment horizontal="center" vertical="center" wrapText="1"/>
    </xf>
    <xf numFmtId="0" fontId="57" fillId="21" borderId="1" xfId="0" applyFont="1" applyFill="1" applyBorder="1" applyAlignment="1">
      <alignment horizontal="left" vertical="center" wrapText="1"/>
    </xf>
    <xf numFmtId="4" fontId="57" fillId="21" borderId="1" xfId="0" applyNumberFormat="1" applyFont="1" applyFill="1" applyBorder="1" applyAlignment="1">
      <alignment horizontal="right" vertical="center" wrapText="1"/>
    </xf>
    <xf numFmtId="4" fontId="65" fillId="12" borderId="1" xfId="0" applyNumberFormat="1" applyFont="1" applyFill="1" applyBorder="1" applyAlignment="1">
      <alignment horizontal="right" vertical="center" wrapText="1"/>
    </xf>
    <xf numFmtId="0" fontId="73" fillId="12" borderId="30" xfId="0" applyFont="1" applyFill="1" applyBorder="1" applyAlignment="1">
      <alignment horizontal="center" vertical="center" wrapText="1"/>
    </xf>
    <xf numFmtId="0" fontId="57" fillId="8" borderId="32" xfId="0" applyFont="1" applyFill="1" applyBorder="1" applyAlignment="1">
      <alignment horizontal="center" vertical="center" wrapText="1"/>
    </xf>
    <xf numFmtId="0" fontId="57" fillId="8" borderId="1" xfId="0" applyFont="1" applyFill="1" applyBorder="1" applyAlignment="1">
      <alignment horizontal="center" vertical="center" wrapText="1"/>
    </xf>
    <xf numFmtId="0" fontId="57" fillId="8" borderId="30" xfId="0" applyFont="1" applyFill="1" applyBorder="1" applyAlignment="1">
      <alignment horizontal="center" vertical="center" wrapText="1"/>
    </xf>
    <xf numFmtId="4" fontId="57" fillId="8" borderId="1" xfId="0" applyNumberFormat="1" applyFont="1" applyFill="1" applyBorder="1" applyAlignment="1">
      <alignment horizontal="left" vertical="center" wrapText="1"/>
    </xf>
    <xf numFmtId="4" fontId="70" fillId="12" borderId="1" xfId="0" applyNumberFormat="1" applyFont="1" applyFill="1" applyBorder="1" applyAlignment="1">
      <alignment horizontal="right" vertical="center" wrapText="1"/>
    </xf>
    <xf numFmtId="49" fontId="89" fillId="21" borderId="1" xfId="0" applyNumberFormat="1" applyFont="1" applyFill="1" applyBorder="1" applyAlignment="1">
      <alignment horizontal="center" wrapText="1"/>
    </xf>
    <xf numFmtId="0" fontId="73" fillId="8" borderId="1" xfId="0" applyFont="1" applyFill="1" applyBorder="1" applyAlignment="1">
      <alignment horizontal="center" vertical="center" wrapText="1"/>
    </xf>
    <xf numFmtId="0" fontId="73" fillId="0" borderId="1" xfId="0" applyFont="1" applyFill="1" applyBorder="1" applyAlignment="1">
      <alignment horizontal="center" vertical="center" wrapText="1"/>
    </xf>
    <xf numFmtId="0" fontId="57" fillId="0" borderId="1" xfId="0" applyFont="1" applyFill="1" applyBorder="1" applyAlignment="1">
      <alignment horizontal="left" vertical="center" wrapText="1"/>
    </xf>
    <xf numFmtId="4" fontId="57" fillId="0" borderId="1" xfId="0" applyNumberFormat="1" applyFont="1" applyFill="1" applyBorder="1" applyAlignment="1">
      <alignment horizontal="right" vertical="center" wrapText="1"/>
    </xf>
    <xf numFmtId="0" fontId="91" fillId="12" borderId="30" xfId="0" applyFont="1" applyFill="1" applyBorder="1" applyAlignment="1">
      <alignment horizontal="center" vertical="center" wrapText="1"/>
    </xf>
    <xf numFmtId="49" fontId="89" fillId="21" borderId="1" xfId="0" applyNumberFormat="1" applyFont="1" applyFill="1" applyBorder="1" applyAlignment="1">
      <alignment horizontal="center" vertical="center" wrapText="1"/>
    </xf>
    <xf numFmtId="4" fontId="70" fillId="16" borderId="34" xfId="0" applyNumberFormat="1" applyFont="1" applyFill="1" applyBorder="1" applyAlignment="1">
      <alignment vertical="center"/>
    </xf>
    <xf numFmtId="0" fontId="65" fillId="16" borderId="35" xfId="0" applyFont="1" applyFill="1" applyBorder="1"/>
    <xf numFmtId="0" fontId="59" fillId="8" borderId="0" xfId="0" applyFont="1" applyFill="1" applyAlignment="1">
      <alignment horizontal="left"/>
    </xf>
    <xf numFmtId="0" fontId="76" fillId="6" borderId="1" xfId="0" applyFont="1" applyFill="1" applyBorder="1" applyAlignment="1">
      <alignment horizontal="center" vertical="center" wrapText="1"/>
    </xf>
    <xf numFmtId="0" fontId="76" fillId="6" borderId="30" xfId="0" applyFont="1" applyFill="1" applyBorder="1" applyAlignment="1">
      <alignment horizontal="center" vertical="center" wrapText="1"/>
    </xf>
    <xf numFmtId="0" fontId="77" fillId="0" borderId="1" xfId="0" applyFont="1" applyBorder="1" applyAlignment="1">
      <alignment horizontal="center" vertical="center" wrapText="1"/>
    </xf>
    <xf numFmtId="0" fontId="65" fillId="6" borderId="32" xfId="0" applyFont="1" applyFill="1" applyBorder="1" applyAlignment="1">
      <alignment vertical="center"/>
    </xf>
    <xf numFmtId="49" fontId="65" fillId="6" borderId="1" xfId="0" applyNumberFormat="1" applyFont="1" applyFill="1" applyBorder="1" applyAlignment="1">
      <alignment vertical="center"/>
    </xf>
    <xf numFmtId="0" fontId="74" fillId="0" borderId="1" xfId="0" applyFont="1" applyBorder="1" applyAlignment="1">
      <alignment horizontal="center" vertical="center" wrapText="1"/>
    </xf>
    <xf numFmtId="0" fontId="74" fillId="0" borderId="1" xfId="0" applyFont="1" applyBorder="1" applyAlignment="1">
      <alignment horizontal="left" vertical="center" wrapText="1"/>
    </xf>
    <xf numFmtId="0" fontId="70" fillId="0" borderId="1" xfId="0" applyFont="1" applyBorder="1" applyAlignment="1">
      <alignment horizontal="left" vertical="center" wrapText="1"/>
    </xf>
    <xf numFmtId="0" fontId="78" fillId="17" borderId="1" xfId="0" applyFont="1" applyFill="1" applyBorder="1" applyAlignment="1">
      <alignment horizontal="left" vertical="center" wrapText="1"/>
    </xf>
    <xf numFmtId="0" fontId="74" fillId="18" borderId="1" xfId="0" applyFont="1" applyFill="1" applyBorder="1" applyAlignment="1">
      <alignment horizontal="left" vertical="center" wrapText="1"/>
    </xf>
    <xf numFmtId="0" fontId="70" fillId="0" borderId="1" xfId="0" applyFont="1" applyBorder="1" applyAlignment="1">
      <alignment horizontal="right" vertical="center"/>
    </xf>
    <xf numFmtId="0" fontId="70" fillId="0" borderId="1" xfId="0" applyFont="1" applyBorder="1" applyAlignment="1">
      <alignment vertical="center"/>
    </xf>
    <xf numFmtId="4" fontId="59" fillId="0" borderId="0" xfId="0" applyNumberFormat="1" applyFont="1"/>
    <xf numFmtId="49" fontId="57" fillId="8" borderId="53" xfId="0" applyNumberFormat="1" applyFont="1" applyFill="1" applyBorder="1" applyAlignment="1">
      <alignment horizontal="center" vertical="center"/>
    </xf>
    <xf numFmtId="49" fontId="57" fillId="8" borderId="2" xfId="0" applyNumberFormat="1" applyFont="1" applyFill="1" applyBorder="1" applyAlignment="1">
      <alignment horizontal="center" vertical="center"/>
    </xf>
    <xf numFmtId="0" fontId="70" fillId="8" borderId="2" xfId="0" applyFont="1" applyFill="1" applyBorder="1" applyAlignment="1">
      <alignment horizontal="left" vertical="center" wrapText="1"/>
    </xf>
    <xf numFmtId="0" fontId="57" fillId="8" borderId="2" xfId="0" applyFont="1" applyFill="1" applyBorder="1" applyAlignment="1">
      <alignment horizontal="left" vertical="center" wrapText="1"/>
    </xf>
    <xf numFmtId="4" fontId="79" fillId="8" borderId="2" xfId="0" applyNumberFormat="1" applyFont="1" applyFill="1" applyBorder="1" applyAlignment="1">
      <alignment horizontal="left" vertical="center" wrapText="1"/>
    </xf>
    <xf numFmtId="4" fontId="79" fillId="8" borderId="2" xfId="0" applyNumberFormat="1" applyFont="1" applyFill="1" applyBorder="1" applyAlignment="1">
      <alignment horizontal="right" vertical="center" wrapText="1"/>
    </xf>
    <xf numFmtId="4" fontId="57" fillId="8" borderId="41" xfId="0" applyNumberFormat="1" applyFont="1" applyFill="1" applyBorder="1" applyAlignment="1">
      <alignment horizontal="right" vertical="center" wrapText="1"/>
    </xf>
    <xf numFmtId="4" fontId="78" fillId="19" borderId="27" xfId="0" applyNumberFormat="1" applyFont="1" applyFill="1" applyBorder="1" applyAlignment="1">
      <alignment horizontal="right" vertical="center" wrapText="1"/>
    </xf>
    <xf numFmtId="4" fontId="78" fillId="19" borderId="28" xfId="0" applyNumberFormat="1" applyFont="1" applyFill="1" applyBorder="1" applyAlignment="1">
      <alignment horizontal="right" vertical="center" wrapText="1"/>
    </xf>
    <xf numFmtId="0" fontId="70" fillId="0" borderId="32" xfId="0" applyFont="1" applyBorder="1" applyAlignment="1">
      <alignment horizontal="right" vertical="center"/>
    </xf>
    <xf numFmtId="3" fontId="82" fillId="0" borderId="30" xfId="0" applyNumberFormat="1" applyFont="1" applyBorder="1" applyAlignment="1">
      <alignment horizontal="right" vertical="center" wrapText="1"/>
    </xf>
    <xf numFmtId="3" fontId="83" fillId="17" borderId="30" xfId="0" applyNumberFormat="1" applyFont="1" applyFill="1" applyBorder="1" applyAlignment="1">
      <alignment horizontal="right" vertical="center" wrapText="1"/>
    </xf>
    <xf numFmtId="3" fontId="83" fillId="18" borderId="30" xfId="0" applyNumberFormat="1" applyFont="1" applyFill="1" applyBorder="1" applyAlignment="1">
      <alignment horizontal="right" vertical="center" wrapText="1"/>
    </xf>
    <xf numFmtId="49" fontId="56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73" fillId="12" borderId="1" xfId="0" applyFont="1" applyFill="1" applyBorder="1" applyAlignment="1">
      <alignment horizontal="center" vertical="center" wrapText="1"/>
    </xf>
    <xf numFmtId="0" fontId="59" fillId="12" borderId="1" xfId="0" applyFont="1" applyFill="1" applyBorder="1" applyAlignment="1">
      <alignment horizontal="center" vertical="center" wrapText="1"/>
    </xf>
    <xf numFmtId="0" fontId="59" fillId="19" borderId="1" xfId="0" applyFont="1" applyFill="1" applyBorder="1" applyAlignment="1">
      <alignment vertical="center" wrapText="1"/>
    </xf>
    <xf numFmtId="0" fontId="57" fillId="19" borderId="1" xfId="0" applyFont="1" applyFill="1" applyBorder="1" applyAlignment="1">
      <alignment vertical="center" wrapText="1"/>
    </xf>
    <xf numFmtId="0" fontId="92" fillId="0" borderId="0" xfId="0" applyFont="1"/>
    <xf numFmtId="0" fontId="92" fillId="0" borderId="0" xfId="0" applyFont="1" applyAlignment="1">
      <alignment wrapText="1"/>
    </xf>
    <xf numFmtId="0" fontId="93" fillId="0" borderId="0" xfId="0" applyFont="1"/>
    <xf numFmtId="0" fontId="94" fillId="0" borderId="0" xfId="0" applyFont="1" applyAlignment="1">
      <alignment horizontal="center"/>
    </xf>
    <xf numFmtId="0" fontId="95" fillId="0" borderId="0" xfId="0" applyFont="1" applyAlignment="1"/>
    <xf numFmtId="0" fontId="97" fillId="22" borderId="50" xfId="0" applyFont="1" applyFill="1" applyBorder="1" applyAlignment="1">
      <alignment horizontal="center" vertical="center" wrapText="1"/>
    </xf>
    <xf numFmtId="0" fontId="97" fillId="22" borderId="43" xfId="0" applyFont="1" applyFill="1" applyBorder="1" applyAlignment="1">
      <alignment horizontal="center" vertical="center" wrapText="1"/>
    </xf>
    <xf numFmtId="0" fontId="98" fillId="0" borderId="25" xfId="0" applyFont="1" applyBorder="1" applyAlignment="1">
      <alignment horizontal="center" vertical="center" wrapText="1"/>
    </xf>
    <xf numFmtId="0" fontId="97" fillId="0" borderId="26" xfId="0" applyFont="1" applyBorder="1" applyAlignment="1">
      <alignment horizontal="center" vertical="center" wrapText="1"/>
    </xf>
    <xf numFmtId="4" fontId="99" fillId="0" borderId="26" xfId="0" applyNumberFormat="1" applyFont="1" applyBorder="1" applyAlignment="1">
      <alignment horizontal="center" vertical="center" wrapText="1"/>
    </xf>
    <xf numFmtId="0" fontId="98" fillId="0" borderId="50" xfId="0" applyFont="1" applyBorder="1" applyAlignment="1">
      <alignment horizontal="center" vertical="center" wrapText="1"/>
    </xf>
    <xf numFmtId="0" fontId="97" fillId="0" borderId="43" xfId="0" applyFont="1" applyBorder="1" applyAlignment="1">
      <alignment horizontal="center" vertical="center" wrapText="1"/>
    </xf>
    <xf numFmtId="4" fontId="99" fillId="0" borderId="43" xfId="0" applyNumberFormat="1" applyFont="1" applyBorder="1" applyAlignment="1">
      <alignment horizontal="center" vertical="center" wrapText="1"/>
    </xf>
    <xf numFmtId="0" fontId="99" fillId="0" borderId="25" xfId="0" applyFont="1" applyBorder="1" applyAlignment="1">
      <alignment horizontal="center" vertical="center" wrapText="1"/>
    </xf>
    <xf numFmtId="0" fontId="100" fillId="22" borderId="1" xfId="0" applyFont="1" applyFill="1" applyBorder="1" applyAlignment="1">
      <alignment horizontal="center" vertical="center"/>
    </xf>
    <xf numFmtId="4" fontId="100" fillId="22" borderId="1" xfId="0" applyNumberFormat="1" applyFont="1" applyFill="1" applyBorder="1" applyAlignment="1">
      <alignment horizontal="center" vertical="center"/>
    </xf>
    <xf numFmtId="0" fontId="7" fillId="0" borderId="14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 vertical="center"/>
    </xf>
    <xf numFmtId="3" fontId="21" fillId="0" borderId="1" xfId="0" applyNumberFormat="1" applyFont="1" applyBorder="1" applyAlignment="1">
      <alignment horizontal="center" wrapText="1"/>
    </xf>
    <xf numFmtId="10" fontId="22" fillId="0" borderId="1" xfId="3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2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wrapText="1"/>
    </xf>
    <xf numFmtId="0" fontId="5" fillId="10" borderId="1" xfId="0" applyFont="1" applyFill="1" applyBorder="1" applyAlignment="1">
      <alignment horizontal="center"/>
    </xf>
    <xf numFmtId="0" fontId="5" fillId="10" borderId="1" xfId="0" applyFont="1" applyFill="1" applyBorder="1" applyAlignment="1">
      <alignment horizontal="center" vertical="center"/>
    </xf>
    <xf numFmtId="3" fontId="5" fillId="10" borderId="1" xfId="0" applyNumberFormat="1" applyFont="1" applyFill="1" applyBorder="1" applyAlignment="1">
      <alignment horizontal="center" vertical="center" wrapText="1"/>
    </xf>
    <xf numFmtId="3" fontId="5" fillId="10" borderId="1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wrapText="1"/>
    </xf>
    <xf numFmtId="0" fontId="6" fillId="3" borderId="6" xfId="0" applyFont="1" applyFill="1" applyBorder="1" applyAlignment="1">
      <alignment horizont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wrapText="1"/>
    </xf>
    <xf numFmtId="4" fontId="28" fillId="2" borderId="1" xfId="0" applyNumberFormat="1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0" fontId="6" fillId="10" borderId="1" xfId="0" applyFont="1" applyFill="1" applyBorder="1" applyAlignment="1">
      <alignment horizontal="center" vertical="center"/>
    </xf>
    <xf numFmtId="4" fontId="28" fillId="0" borderId="1" xfId="0" applyNumberFormat="1" applyFont="1" applyBorder="1" applyAlignment="1">
      <alignment horizontal="center" wrapText="1"/>
    </xf>
    <xf numFmtId="10" fontId="28" fillId="0" borderId="1" xfId="3" applyNumberFormat="1" applyFont="1" applyBorder="1" applyAlignment="1">
      <alignment horizontal="center" wrapText="1"/>
    </xf>
    <xf numFmtId="0" fontId="28" fillId="6" borderId="1" xfId="0" applyFont="1" applyFill="1" applyBorder="1" applyAlignment="1">
      <alignment horizontal="center" wrapText="1"/>
    </xf>
    <xf numFmtId="0" fontId="28" fillId="6" borderId="14" xfId="0" applyFont="1" applyFill="1" applyBorder="1" applyAlignment="1">
      <alignment horizontal="center" wrapText="1"/>
    </xf>
    <xf numFmtId="0" fontId="28" fillId="6" borderId="11" xfId="0" applyFont="1" applyFill="1" applyBorder="1" applyAlignment="1">
      <alignment horizontal="center" wrapText="1"/>
    </xf>
    <xf numFmtId="0" fontId="28" fillId="0" borderId="14" xfId="0" applyFont="1" applyBorder="1" applyAlignment="1">
      <alignment horizontal="center"/>
    </xf>
    <xf numFmtId="0" fontId="28" fillId="0" borderId="12" xfId="0" applyFont="1" applyBorder="1" applyAlignment="1">
      <alignment horizontal="center"/>
    </xf>
    <xf numFmtId="4" fontId="28" fillId="10" borderId="1" xfId="0" applyNumberFormat="1" applyFont="1" applyFill="1" applyBorder="1" applyAlignment="1">
      <alignment horizontal="center" vertical="center"/>
    </xf>
    <xf numFmtId="0" fontId="29" fillId="0" borderId="1" xfId="0" applyFont="1" applyBorder="1" applyAlignment="1">
      <alignment horizontal="center"/>
    </xf>
    <xf numFmtId="4" fontId="28" fillId="10" borderId="1" xfId="0" applyNumberFormat="1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/>
    </xf>
    <xf numFmtId="0" fontId="29" fillId="0" borderId="14" xfId="0" applyFont="1" applyBorder="1" applyAlignment="1">
      <alignment horizontal="center"/>
    </xf>
    <xf numFmtId="0" fontId="29" fillId="0" borderId="11" xfId="0" applyFont="1" applyBorder="1" applyAlignment="1">
      <alignment horizontal="center"/>
    </xf>
    <xf numFmtId="0" fontId="29" fillId="0" borderId="12" xfId="0" applyFont="1" applyBorder="1" applyAlignment="1">
      <alignment horizontal="center"/>
    </xf>
    <xf numFmtId="4" fontId="6" fillId="10" borderId="1" xfId="0" applyNumberFormat="1" applyFont="1" applyFill="1" applyBorder="1" applyAlignment="1">
      <alignment horizontal="center" vertical="center"/>
    </xf>
    <xf numFmtId="0" fontId="28" fillId="10" borderId="1" xfId="0" applyFont="1" applyFill="1" applyBorder="1" applyAlignment="1">
      <alignment horizontal="center"/>
    </xf>
    <xf numFmtId="4" fontId="6" fillId="10" borderId="1" xfId="0" applyNumberFormat="1" applyFont="1" applyFill="1" applyBorder="1" applyAlignment="1">
      <alignment horizontal="center" vertical="center" wrapText="1"/>
    </xf>
    <xf numFmtId="0" fontId="28" fillId="10" borderId="1" xfId="0" applyFont="1" applyFill="1" applyBorder="1" applyAlignment="1">
      <alignment horizontal="center" vertical="center"/>
    </xf>
    <xf numFmtId="49" fontId="56" fillId="9" borderId="39" xfId="0" applyNumberFormat="1" applyFont="1" applyFill="1" applyBorder="1" applyAlignment="1" applyProtection="1">
      <alignment horizontal="center" vertical="center" wrapText="1"/>
      <protection locked="0"/>
    </xf>
    <xf numFmtId="49" fontId="56" fillId="9" borderId="12" xfId="0" applyNumberFormat="1" applyFont="1" applyFill="1" applyBorder="1" applyAlignment="1" applyProtection="1">
      <alignment horizontal="center" vertical="center" wrapText="1"/>
      <protection locked="0"/>
    </xf>
    <xf numFmtId="0" fontId="57" fillId="0" borderId="0" xfId="0" applyFont="1" applyFill="1" applyAlignment="1">
      <alignment horizontal="left" wrapText="1"/>
    </xf>
    <xf numFmtId="0" fontId="62" fillId="6" borderId="50" xfId="0" applyNumberFormat="1" applyFont="1" applyFill="1" applyBorder="1" applyAlignment="1" applyProtection="1">
      <alignment horizontal="center" vertical="center"/>
      <protection locked="0"/>
    </xf>
    <xf numFmtId="0" fontId="62" fillId="6" borderId="43" xfId="0" applyNumberFormat="1" applyFont="1" applyFill="1" applyBorder="1" applyAlignment="1" applyProtection="1">
      <alignment horizontal="center" vertical="center"/>
      <protection locked="0"/>
    </xf>
    <xf numFmtId="4" fontId="56" fillId="5" borderId="1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30" xfId="0" applyNumberFormat="1" applyFont="1" applyFill="1" applyBorder="1" applyAlignment="1" applyProtection="1">
      <alignment horizontal="center" vertical="center" wrapText="1"/>
      <protection locked="0"/>
    </xf>
    <xf numFmtId="0" fontId="56" fillId="0" borderId="0" xfId="0" applyNumberFormat="1" applyFont="1" applyFill="1" applyBorder="1" applyAlignment="1" applyProtection="1">
      <alignment horizontal="left"/>
      <protection locked="0"/>
    </xf>
    <xf numFmtId="4" fontId="59" fillId="5" borderId="0" xfId="0" applyNumberFormat="1" applyFont="1" applyFill="1" applyAlignment="1" applyProtection="1">
      <alignment horizontal="right" vertical="center" wrapText="1"/>
      <protection locked="0"/>
    </xf>
    <xf numFmtId="49" fontId="62" fillId="7" borderId="32" xfId="0" applyNumberFormat="1" applyFont="1" applyFill="1" applyBorder="1" applyAlignment="1" applyProtection="1">
      <alignment horizontal="center" vertical="center" wrapText="1"/>
      <protection locked="0"/>
    </xf>
    <xf numFmtId="49" fontId="62" fillId="7" borderId="1" xfId="0" applyNumberFormat="1" applyFont="1" applyFill="1" applyBorder="1" applyAlignment="1" applyProtection="1">
      <alignment horizontal="center" vertical="center" wrapText="1"/>
      <protection locked="0"/>
    </xf>
    <xf numFmtId="4" fontId="62" fillId="7" borderId="1" xfId="0" applyNumberFormat="1" applyFont="1" applyFill="1" applyBorder="1" applyAlignment="1" applyProtection="1">
      <alignment horizontal="center" vertical="center" wrapText="1"/>
      <protection locked="0"/>
    </xf>
    <xf numFmtId="4" fontId="62" fillId="7" borderId="30" xfId="0" applyNumberFormat="1" applyFont="1" applyFill="1" applyBorder="1" applyAlignment="1" applyProtection="1">
      <alignment horizontal="center" vertical="center" wrapText="1"/>
      <protection locked="0"/>
    </xf>
    <xf numFmtId="49" fontId="56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56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56" fillId="0" borderId="53" xfId="0" applyNumberFormat="1" applyFont="1" applyFill="1" applyBorder="1" applyAlignment="1" applyProtection="1">
      <alignment horizontal="center" vertical="center"/>
      <protection locked="0"/>
    </xf>
    <xf numFmtId="0" fontId="56" fillId="0" borderId="2" xfId="0" applyNumberFormat="1" applyFont="1" applyFill="1" applyBorder="1" applyAlignment="1" applyProtection="1">
      <alignment horizontal="center" vertical="center"/>
      <protection locked="0"/>
    </xf>
    <xf numFmtId="4" fontId="56" fillId="0" borderId="2" xfId="0" applyNumberFormat="1" applyFont="1" applyFill="1" applyBorder="1" applyAlignment="1" applyProtection="1">
      <alignment horizontal="center" vertical="center"/>
      <protection locked="0"/>
    </xf>
    <xf numFmtId="4" fontId="56" fillId="0" borderId="41" xfId="0" applyNumberFormat="1" applyFont="1" applyFill="1" applyBorder="1" applyAlignment="1" applyProtection="1">
      <alignment horizontal="center" vertical="center"/>
      <protection locked="0"/>
    </xf>
    <xf numFmtId="49" fontId="56" fillId="9" borderId="32" xfId="0" applyNumberFormat="1" applyFont="1" applyFill="1" applyBorder="1" applyAlignment="1" applyProtection="1">
      <alignment horizontal="center" vertical="center" wrapText="1"/>
      <protection locked="0"/>
    </xf>
    <xf numFmtId="49" fontId="56" fillId="9" borderId="1" xfId="0" applyNumberFormat="1" applyFont="1" applyFill="1" applyBorder="1" applyAlignment="1" applyProtection="1">
      <alignment horizontal="center" vertical="center" wrapText="1"/>
      <protection locked="0"/>
    </xf>
    <xf numFmtId="49" fontId="58" fillId="5" borderId="0" xfId="0" applyNumberFormat="1" applyFont="1" applyFill="1" applyAlignment="1" applyProtection="1">
      <alignment horizontal="center" vertical="center" wrapText="1"/>
      <protection locked="0"/>
    </xf>
    <xf numFmtId="49" fontId="60" fillId="9" borderId="50" xfId="0" applyNumberFormat="1" applyFont="1" applyFill="1" applyBorder="1" applyAlignment="1" applyProtection="1">
      <alignment horizontal="center" vertical="center" wrapText="1"/>
      <protection locked="0"/>
    </xf>
    <xf numFmtId="49" fontId="60" fillId="9" borderId="43" xfId="0" applyNumberFormat="1" applyFont="1" applyFill="1" applyBorder="1" applyAlignment="1" applyProtection="1">
      <alignment horizontal="center" vertical="center" wrapText="1"/>
      <protection locked="0"/>
    </xf>
    <xf numFmtId="49" fontId="60" fillId="9" borderId="44" xfId="0" applyNumberFormat="1" applyFont="1" applyFill="1" applyBorder="1" applyAlignment="1" applyProtection="1">
      <alignment horizontal="center" vertical="center" wrapText="1"/>
      <protection locked="0"/>
    </xf>
    <xf numFmtId="49" fontId="61" fillId="5" borderId="31" xfId="0" applyNumberFormat="1" applyFont="1" applyFill="1" applyBorder="1" applyAlignment="1" applyProtection="1">
      <alignment horizontal="center" vertical="center" wrapText="1"/>
      <protection locked="0"/>
    </xf>
    <xf numFmtId="49" fontId="61" fillId="5" borderId="6" xfId="0" applyNumberFormat="1" applyFont="1" applyFill="1" applyBorder="1" applyAlignment="1" applyProtection="1">
      <alignment horizontal="center" vertical="center" wrapText="1"/>
      <protection locked="0"/>
    </xf>
    <xf numFmtId="49" fontId="61" fillId="5" borderId="52" xfId="0" applyNumberFormat="1" applyFont="1" applyFill="1" applyBorder="1" applyAlignment="1" applyProtection="1">
      <alignment horizontal="center" vertical="center" wrapText="1"/>
      <protection locked="0"/>
    </xf>
    <xf numFmtId="0" fontId="57" fillId="0" borderId="0" xfId="0" applyFont="1" applyAlignment="1">
      <alignment horizontal="left" vertical="center" wrapText="1"/>
    </xf>
    <xf numFmtId="4" fontId="62" fillId="6" borderId="47" xfId="0" applyNumberFormat="1" applyFont="1" applyFill="1" applyBorder="1" applyAlignment="1" applyProtection="1">
      <alignment horizontal="center" vertical="center"/>
      <protection locked="0"/>
    </xf>
    <xf numFmtId="0" fontId="62" fillId="6" borderId="16" xfId="0" applyNumberFormat="1" applyFont="1" applyFill="1" applyBorder="1" applyAlignment="1" applyProtection="1">
      <alignment horizontal="center" vertical="center"/>
      <protection locked="0"/>
    </xf>
    <xf numFmtId="4" fontId="56" fillId="5" borderId="14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61" xfId="0" applyNumberFormat="1" applyFont="1" applyFill="1" applyBorder="1" applyAlignment="1" applyProtection="1">
      <alignment horizontal="center" vertical="center" wrapText="1"/>
      <protection locked="0"/>
    </xf>
    <xf numFmtId="0" fontId="57" fillId="0" borderId="0" xfId="0" applyFont="1" applyAlignment="1">
      <alignment horizontal="left"/>
    </xf>
    <xf numFmtId="0" fontId="65" fillId="0" borderId="14" xfId="6" applyFont="1" applyBorder="1" applyAlignment="1">
      <alignment horizontal="center" vertical="center" wrapText="1"/>
    </xf>
    <xf numFmtId="0" fontId="65" fillId="0" borderId="11" xfId="6" applyFont="1" applyBorder="1" applyAlignment="1">
      <alignment horizontal="center" vertical="center" wrapText="1"/>
    </xf>
    <xf numFmtId="0" fontId="65" fillId="0" borderId="12" xfId="6" applyFont="1" applyBorder="1" applyAlignment="1">
      <alignment horizontal="center" vertical="center" wrapText="1"/>
    </xf>
    <xf numFmtId="0" fontId="65" fillId="0" borderId="0" xfId="0" applyFont="1" applyAlignment="1">
      <alignment horizontal="center" wrapText="1"/>
    </xf>
    <xf numFmtId="0" fontId="65" fillId="6" borderId="33" xfId="0" applyFont="1" applyFill="1" applyBorder="1" applyAlignment="1">
      <alignment horizontal="justify" vertical="center" wrapText="1"/>
    </xf>
    <xf numFmtId="0" fontId="65" fillId="6" borderId="34" xfId="0" applyFont="1" applyFill="1" applyBorder="1" applyAlignment="1">
      <alignment horizontal="justify" vertical="center" wrapText="1"/>
    </xf>
    <xf numFmtId="3" fontId="65" fillId="6" borderId="37" xfId="0" applyNumberFormat="1" applyFont="1" applyFill="1" applyBorder="1" applyAlignment="1">
      <alignment horizontal="center" vertical="center" wrapText="1"/>
    </xf>
    <xf numFmtId="3" fontId="65" fillId="6" borderId="40" xfId="0" applyNumberFormat="1" applyFont="1" applyFill="1" applyBorder="1" applyAlignment="1">
      <alignment horizontal="center" vertical="center" wrapText="1"/>
    </xf>
    <xf numFmtId="3" fontId="65" fillId="6" borderId="38" xfId="0" applyNumberFormat="1" applyFont="1" applyFill="1" applyBorder="1" applyAlignment="1">
      <alignment horizontal="center" vertical="center" wrapText="1"/>
    </xf>
    <xf numFmtId="0" fontId="59" fillId="0" borderId="14" xfId="0" applyFont="1" applyBorder="1" applyAlignment="1">
      <alignment horizontal="center" vertical="center" wrapText="1"/>
    </xf>
    <xf numFmtId="0" fontId="59" fillId="0" borderId="12" xfId="0" applyFont="1" applyBorder="1" applyAlignment="1">
      <alignment horizontal="center" vertical="center" wrapText="1"/>
    </xf>
    <xf numFmtId="0" fontId="59" fillId="19" borderId="1" xfId="0" applyFont="1" applyFill="1" applyBorder="1" applyAlignment="1">
      <alignment horizontal="center" vertical="center" wrapText="1"/>
    </xf>
    <xf numFmtId="0" fontId="65" fillId="0" borderId="32" xfId="0" applyFont="1" applyBorder="1" applyAlignment="1">
      <alignment horizontal="justify" vertical="center" wrapText="1"/>
    </xf>
    <xf numFmtId="0" fontId="65" fillId="0" borderId="1" xfId="0" applyFont="1" applyBorder="1" applyAlignment="1">
      <alignment horizontal="justify" vertical="center" wrapText="1"/>
    </xf>
    <xf numFmtId="0" fontId="59" fillId="0" borderId="1" xfId="0" applyFont="1" applyBorder="1" applyAlignment="1">
      <alignment horizontal="center" vertical="center" wrapText="1"/>
    </xf>
    <xf numFmtId="0" fontId="59" fillId="19" borderId="25" xfId="0" applyFont="1" applyFill="1" applyBorder="1" applyAlignment="1">
      <alignment horizontal="center" vertical="center" wrapText="1"/>
    </xf>
    <xf numFmtId="0" fontId="59" fillId="19" borderId="29" xfId="0" applyFont="1" applyFill="1" applyBorder="1" applyAlignment="1">
      <alignment horizontal="center" vertical="center" wrapText="1"/>
    </xf>
    <xf numFmtId="0" fontId="59" fillId="19" borderId="31" xfId="0" applyFont="1" applyFill="1" applyBorder="1" applyAlignment="1">
      <alignment horizontal="center" vertical="center" wrapText="1"/>
    </xf>
    <xf numFmtId="0" fontId="59" fillId="19" borderId="24" xfId="0" applyFont="1" applyFill="1" applyBorder="1" applyAlignment="1">
      <alignment horizontal="center" vertical="center" wrapText="1"/>
    </xf>
    <xf numFmtId="0" fontId="59" fillId="19" borderId="51" xfId="0" applyFont="1" applyFill="1" applyBorder="1" applyAlignment="1">
      <alignment horizontal="center" vertical="center" wrapText="1"/>
    </xf>
    <xf numFmtId="0" fontId="59" fillId="19" borderId="22" xfId="0" applyFont="1" applyFill="1" applyBorder="1" applyAlignment="1">
      <alignment horizontal="center" vertical="center" wrapText="1"/>
    </xf>
    <xf numFmtId="0" fontId="59" fillId="19" borderId="23" xfId="0" applyFont="1" applyFill="1" applyBorder="1" applyAlignment="1">
      <alignment horizontal="center" vertical="center" wrapText="1"/>
    </xf>
    <xf numFmtId="0" fontId="59" fillId="19" borderId="13" xfId="0" applyFont="1" applyFill="1" applyBorder="1" applyAlignment="1">
      <alignment horizontal="center" vertical="center" wrapText="1"/>
    </xf>
    <xf numFmtId="0" fontId="59" fillId="19" borderId="21" xfId="0" applyFont="1" applyFill="1" applyBorder="1" applyAlignment="1">
      <alignment horizontal="center" vertical="center" wrapText="1"/>
    </xf>
    <xf numFmtId="0" fontId="59" fillId="0" borderId="2" xfId="0" applyFont="1" applyBorder="1" applyAlignment="1">
      <alignment horizontal="center" vertical="center" wrapText="1"/>
    </xf>
    <xf numFmtId="0" fontId="59" fillId="0" borderId="4" xfId="0" applyFont="1" applyBorder="1" applyAlignment="1">
      <alignment horizontal="center" vertical="center" wrapText="1"/>
    </xf>
    <xf numFmtId="0" fontId="59" fillId="0" borderId="6" xfId="0" applyFont="1" applyBorder="1" applyAlignment="1">
      <alignment horizontal="center" vertical="center" wrapText="1"/>
    </xf>
    <xf numFmtId="3" fontId="59" fillId="0" borderId="2" xfId="0" applyNumberFormat="1" applyFont="1" applyBorder="1" applyAlignment="1">
      <alignment horizontal="center" vertical="center" wrapText="1"/>
    </xf>
    <xf numFmtId="3" fontId="59" fillId="0" borderId="4" xfId="0" applyNumberFormat="1" applyFont="1" applyBorder="1" applyAlignment="1">
      <alignment horizontal="center" vertical="center" wrapText="1"/>
    </xf>
    <xf numFmtId="3" fontId="59" fillId="0" borderId="6" xfId="0" applyNumberFormat="1" applyFont="1" applyBorder="1" applyAlignment="1">
      <alignment horizontal="center" vertical="center" wrapText="1"/>
    </xf>
    <xf numFmtId="0" fontId="49" fillId="8" borderId="0" xfId="0" applyFont="1" applyFill="1" applyAlignment="1">
      <alignment horizontal="left" wrapText="1"/>
    </xf>
    <xf numFmtId="0" fontId="50" fillId="8" borderId="0" xfId="0" applyFont="1" applyFill="1" applyAlignment="1">
      <alignment horizontal="left" wrapText="1"/>
    </xf>
    <xf numFmtId="0" fontId="54" fillId="0" borderId="0" xfId="0" applyFont="1" applyAlignment="1">
      <alignment horizontal="center" wrapText="1"/>
    </xf>
    <xf numFmtId="0" fontId="50" fillId="0" borderId="42" xfId="0" applyFont="1" applyBorder="1" applyAlignment="1">
      <alignment horizontal="center" wrapText="1"/>
    </xf>
    <xf numFmtId="0" fontId="50" fillId="0" borderId="43" xfId="0" applyFont="1" applyBorder="1" applyAlignment="1">
      <alignment horizontal="center" wrapText="1"/>
    </xf>
    <xf numFmtId="0" fontId="50" fillId="0" borderId="44" xfId="0" applyFont="1" applyBorder="1" applyAlignment="1">
      <alignment horizontal="center" wrapText="1"/>
    </xf>
    <xf numFmtId="0" fontId="59" fillId="19" borderId="6" xfId="0" applyFont="1" applyFill="1" applyBorder="1" applyAlignment="1">
      <alignment horizontal="center" vertical="center" wrapText="1"/>
    </xf>
    <xf numFmtId="0" fontId="59" fillId="0" borderId="0" xfId="0" applyFont="1" applyAlignment="1">
      <alignment horizontal="left"/>
    </xf>
    <xf numFmtId="0" fontId="59" fillId="0" borderId="0" xfId="0" applyFont="1" applyAlignment="1">
      <alignment horizontal="center" vertical="center" wrapText="1"/>
    </xf>
    <xf numFmtId="4" fontId="57" fillId="0" borderId="4" xfId="0" applyNumberFormat="1" applyFont="1" applyBorder="1" applyAlignment="1">
      <alignment vertical="center"/>
    </xf>
    <xf numFmtId="4" fontId="57" fillId="0" borderId="55" xfId="0" applyNumberFormat="1" applyFont="1" applyBorder="1" applyAlignment="1">
      <alignment vertical="center"/>
    </xf>
    <xf numFmtId="0" fontId="70" fillId="19" borderId="50" xfId="0" applyFont="1" applyFill="1" applyBorder="1" applyAlignment="1">
      <alignment vertical="center" wrapText="1"/>
    </xf>
    <xf numFmtId="0" fontId="57" fillId="19" borderId="43" xfId="0" applyFont="1" applyFill="1" applyBorder="1" applyAlignment="1">
      <alignment vertical="center" wrapText="1"/>
    </xf>
    <xf numFmtId="49" fontId="66" fillId="6" borderId="54" xfId="0" applyNumberFormat="1" applyFont="1" applyFill="1" applyBorder="1" applyAlignment="1">
      <alignment horizontal="center" vertical="center"/>
    </xf>
    <xf numFmtId="49" fontId="66" fillId="6" borderId="48" xfId="0" applyNumberFormat="1" applyFont="1" applyFill="1" applyBorder="1" applyAlignment="1">
      <alignment horizontal="center" vertical="center"/>
    </xf>
    <xf numFmtId="49" fontId="66" fillId="6" borderId="49" xfId="0" applyNumberFormat="1" applyFont="1" applyFill="1" applyBorder="1" applyAlignment="1">
      <alignment horizontal="center" vertical="center"/>
    </xf>
    <xf numFmtId="0" fontId="66" fillId="2" borderId="0" xfId="0" applyFont="1" applyFill="1" applyAlignment="1">
      <alignment horizontal="left" vertical="center" wrapText="1"/>
    </xf>
    <xf numFmtId="0" fontId="70" fillId="6" borderId="54" xfId="0" applyFont="1" applyFill="1" applyBorder="1" applyAlignment="1">
      <alignment horizontal="center" vertical="center"/>
    </xf>
    <xf numFmtId="0" fontId="70" fillId="6" borderId="49" xfId="0" applyFont="1" applyFill="1" applyBorder="1" applyAlignment="1">
      <alignment horizontal="center" vertical="center"/>
    </xf>
    <xf numFmtId="0" fontId="57" fillId="0" borderId="24" xfId="0" applyFont="1" applyBorder="1" applyAlignment="1">
      <alignment horizontal="center"/>
    </xf>
    <xf numFmtId="0" fontId="57" fillId="0" borderId="51" xfId="0" applyFont="1" applyBorder="1" applyAlignment="1">
      <alignment horizontal="center"/>
    </xf>
    <xf numFmtId="0" fontId="70" fillId="19" borderId="48" xfId="0" applyFont="1" applyFill="1" applyBorder="1" applyAlignment="1">
      <alignment vertical="center" wrapText="1"/>
    </xf>
    <xf numFmtId="0" fontId="57" fillId="19" borderId="49" xfId="0" applyFont="1" applyFill="1" applyBorder="1" applyAlignment="1">
      <alignment vertical="center" wrapText="1"/>
    </xf>
    <xf numFmtId="0" fontId="57" fillId="0" borderId="29" xfId="0" applyFont="1" applyBorder="1" applyAlignment="1">
      <alignment horizontal="center" vertical="center"/>
    </xf>
    <xf numFmtId="0" fontId="57" fillId="0" borderId="56" xfId="0" applyFont="1" applyBorder="1" applyAlignment="1">
      <alignment horizontal="center" vertical="center"/>
    </xf>
    <xf numFmtId="0" fontId="70" fillId="0" borderId="4" xfId="0" applyFont="1" applyBorder="1" applyAlignment="1">
      <alignment horizontal="center" vertical="center"/>
    </xf>
    <xf numFmtId="0" fontId="57" fillId="0" borderId="6" xfId="0" applyFont="1" applyBorder="1" applyAlignment="1">
      <alignment horizontal="center" vertical="center"/>
    </xf>
    <xf numFmtId="49" fontId="57" fillId="0" borderId="26" xfId="0" applyNumberFormat="1" applyFont="1" applyBorder="1" applyAlignment="1">
      <alignment horizontal="left" vertical="center" wrapText="1"/>
    </xf>
    <xf numFmtId="49" fontId="57" fillId="0" borderId="6" xfId="0" applyNumberFormat="1" applyFont="1" applyBorder="1" applyAlignment="1">
      <alignment horizontal="left" vertical="center" wrapText="1"/>
    </xf>
    <xf numFmtId="0" fontId="66" fillId="0" borderId="0" xfId="0" applyFont="1" applyAlignment="1">
      <alignment horizontal="center" vertical="center" wrapText="1"/>
    </xf>
    <xf numFmtId="0" fontId="70" fillId="0" borderId="0" xfId="0" applyFont="1" applyAlignment="1">
      <alignment horizontal="center" vertical="center" wrapText="1"/>
    </xf>
    <xf numFmtId="0" fontId="72" fillId="0" borderId="0" xfId="0" applyFont="1" applyAlignment="1">
      <alignment horizontal="center" vertical="center"/>
    </xf>
    <xf numFmtId="0" fontId="57" fillId="8" borderId="0" xfId="0" applyFont="1" applyFill="1" applyAlignment="1">
      <alignment horizontal="left" wrapText="1"/>
    </xf>
    <xf numFmtId="0" fontId="59" fillId="8" borderId="0" xfId="0" applyFont="1" applyFill="1" applyAlignment="1">
      <alignment horizontal="left"/>
    </xf>
    <xf numFmtId="0" fontId="57" fillId="8" borderId="0" xfId="0" applyFont="1" applyFill="1" applyAlignment="1">
      <alignment horizontal="left" vertical="center" wrapText="1"/>
    </xf>
    <xf numFmtId="0" fontId="75" fillId="6" borderId="27" xfId="0" applyFont="1" applyFill="1" applyBorder="1" applyAlignment="1">
      <alignment horizontal="center" vertical="center" wrapText="1"/>
    </xf>
    <xf numFmtId="0" fontId="75" fillId="6" borderId="1" xfId="0" applyFont="1" applyFill="1" applyBorder="1" applyAlignment="1">
      <alignment horizontal="center" vertical="center" wrapText="1"/>
    </xf>
    <xf numFmtId="0" fontId="84" fillId="0" borderId="0" xfId="0" applyFont="1" applyAlignment="1">
      <alignment horizontal="center" vertical="center" wrapText="1"/>
    </xf>
    <xf numFmtId="0" fontId="74" fillId="6" borderId="36" xfId="0" applyFont="1" applyFill="1" applyBorder="1" applyAlignment="1">
      <alignment horizontal="center" vertical="center" wrapText="1"/>
    </xf>
    <xf numFmtId="0" fontId="74" fillId="6" borderId="32" xfId="0" applyFont="1" applyFill="1" applyBorder="1" applyAlignment="1">
      <alignment horizontal="center" vertical="center" wrapText="1"/>
    </xf>
    <xf numFmtId="0" fontId="74" fillId="6" borderId="27" xfId="0" applyFont="1" applyFill="1" applyBorder="1" applyAlignment="1">
      <alignment horizontal="center" vertical="center" wrapText="1"/>
    </xf>
    <xf numFmtId="0" fontId="74" fillId="6" borderId="1" xfId="0" applyFont="1" applyFill="1" applyBorder="1" applyAlignment="1">
      <alignment horizontal="center" vertical="center" wrapText="1"/>
    </xf>
    <xf numFmtId="0" fontId="74" fillId="6" borderId="28" xfId="0" applyFont="1" applyFill="1" applyBorder="1" applyAlignment="1">
      <alignment horizontal="center" vertical="center" wrapText="1"/>
    </xf>
    <xf numFmtId="4" fontId="65" fillId="6" borderId="34" xfId="0" applyNumberFormat="1" applyFont="1" applyFill="1" applyBorder="1" applyAlignment="1">
      <alignment horizontal="center"/>
    </xf>
    <xf numFmtId="4" fontId="65" fillId="6" borderId="35" xfId="0" applyNumberFormat="1" applyFont="1" applyFill="1" applyBorder="1" applyAlignment="1">
      <alignment horizontal="center"/>
    </xf>
    <xf numFmtId="0" fontId="65" fillId="19" borderId="36" xfId="0" applyFont="1" applyFill="1" applyBorder="1" applyAlignment="1">
      <alignment horizontal="center"/>
    </xf>
    <xf numFmtId="0" fontId="65" fillId="19" borderId="27" xfId="0" applyFont="1" applyFill="1" applyBorder="1" applyAlignment="1">
      <alignment horizontal="center"/>
    </xf>
    <xf numFmtId="0" fontId="65" fillId="6" borderId="33" xfId="0" applyFont="1" applyFill="1" applyBorder="1" applyAlignment="1">
      <alignment horizontal="center"/>
    </xf>
    <xf numFmtId="0" fontId="65" fillId="6" borderId="34" xfId="0" applyFont="1" applyFill="1" applyBorder="1" applyAlignment="1">
      <alignment horizontal="center"/>
    </xf>
    <xf numFmtId="0" fontId="76" fillId="6" borderId="1" xfId="0" applyFont="1" applyFill="1" applyBorder="1" applyAlignment="1">
      <alignment horizontal="center" vertical="center" wrapText="1"/>
    </xf>
    <xf numFmtId="0" fontId="76" fillId="6" borderId="30" xfId="0" applyFont="1" applyFill="1" applyBorder="1" applyAlignment="1">
      <alignment horizontal="center" vertical="center" wrapText="1"/>
    </xf>
    <xf numFmtId="0" fontId="78" fillId="19" borderId="39" xfId="0" applyFont="1" applyFill="1" applyBorder="1" applyAlignment="1">
      <alignment horizontal="left" vertical="top" wrapText="1"/>
    </xf>
    <xf numFmtId="0" fontId="78" fillId="19" borderId="11" xfId="0" applyFont="1" applyFill="1" applyBorder="1" applyAlignment="1">
      <alignment horizontal="left" vertical="top" wrapText="1"/>
    </xf>
    <xf numFmtId="0" fontId="78" fillId="19" borderId="12" xfId="0" applyFont="1" applyFill="1" applyBorder="1" applyAlignment="1">
      <alignment horizontal="left" vertical="top" wrapText="1"/>
    </xf>
    <xf numFmtId="0" fontId="74" fillId="18" borderId="32" xfId="0" applyFont="1" applyFill="1" applyBorder="1" applyAlignment="1">
      <alignment horizontal="center" vertical="top" wrapText="1"/>
    </xf>
    <xf numFmtId="0" fontId="74" fillId="18" borderId="1" xfId="0" applyFont="1" applyFill="1" applyBorder="1" applyAlignment="1">
      <alignment horizontal="center" vertical="top" wrapText="1"/>
    </xf>
    <xf numFmtId="0" fontId="77" fillId="0" borderId="1" xfId="0" applyFont="1" applyBorder="1" applyAlignment="1">
      <alignment horizontal="center" vertical="center" wrapText="1"/>
    </xf>
    <xf numFmtId="0" fontId="74" fillId="0" borderId="32" xfId="0" applyFont="1" applyBorder="1" applyAlignment="1">
      <alignment horizontal="center" vertical="top" wrapText="1"/>
    </xf>
    <xf numFmtId="0" fontId="74" fillId="0" borderId="1" xfId="0" applyFont="1" applyBorder="1" applyAlignment="1">
      <alignment horizontal="center" vertical="top" wrapText="1"/>
    </xf>
    <xf numFmtId="0" fontId="81" fillId="0" borderId="1" xfId="0" applyFont="1" applyBorder="1" applyAlignment="1">
      <alignment horizontal="center" vertical="top" wrapText="1"/>
    </xf>
    <xf numFmtId="0" fontId="81" fillId="0" borderId="30" xfId="0" applyFont="1" applyBorder="1" applyAlignment="1">
      <alignment horizontal="center" vertical="top" wrapText="1"/>
    </xf>
    <xf numFmtId="0" fontId="78" fillId="17" borderId="32" xfId="0" applyFont="1" applyFill="1" applyBorder="1" applyAlignment="1">
      <alignment horizontal="left" vertical="top" wrapText="1"/>
    </xf>
    <xf numFmtId="0" fontId="78" fillId="17" borderId="1" xfId="0" applyFont="1" applyFill="1" applyBorder="1" applyAlignment="1">
      <alignment horizontal="left" vertical="top" wrapText="1"/>
    </xf>
    <xf numFmtId="0" fontId="65" fillId="12" borderId="32" xfId="0" applyFont="1" applyFill="1" applyBorder="1" applyAlignment="1">
      <alignment horizontal="center" vertical="center" wrapText="1"/>
    </xf>
    <xf numFmtId="0" fontId="65" fillId="12" borderId="1" xfId="0" applyFont="1" applyFill="1" applyBorder="1" applyAlignment="1">
      <alignment horizontal="center" vertical="center" wrapText="1"/>
    </xf>
    <xf numFmtId="0" fontId="65" fillId="16" borderId="33" xfId="0" applyFont="1" applyFill="1" applyBorder="1" applyAlignment="1">
      <alignment horizontal="center"/>
    </xf>
    <xf numFmtId="0" fontId="65" fillId="16" borderId="34" xfId="0" applyFont="1" applyFill="1" applyBorder="1" applyAlignment="1">
      <alignment horizontal="center"/>
    </xf>
    <xf numFmtId="0" fontId="65" fillId="12" borderId="11" xfId="0" applyFont="1" applyFill="1" applyBorder="1" applyAlignment="1">
      <alignment horizontal="center" vertical="center" wrapText="1"/>
    </xf>
    <xf numFmtId="0" fontId="65" fillId="12" borderId="12" xfId="0" applyFont="1" applyFill="1" applyBorder="1" applyAlignment="1">
      <alignment horizontal="center" vertical="center" wrapText="1"/>
    </xf>
    <xf numFmtId="0" fontId="65" fillId="12" borderId="39" xfId="0" applyFont="1" applyFill="1" applyBorder="1" applyAlignment="1">
      <alignment horizontal="center" vertical="center" wrapText="1"/>
    </xf>
    <xf numFmtId="0" fontId="70" fillId="16" borderId="27" xfId="0" applyFont="1" applyFill="1" applyBorder="1" applyAlignment="1">
      <alignment horizontal="center" vertical="center" wrapText="1"/>
    </xf>
    <xf numFmtId="0" fontId="70" fillId="16" borderId="1" xfId="0" applyFont="1" applyFill="1" applyBorder="1" applyAlignment="1">
      <alignment horizontal="center" vertical="center" wrapText="1"/>
    </xf>
    <xf numFmtId="0" fontId="52" fillId="0" borderId="0" xfId="0" applyFont="1" applyAlignment="1">
      <alignment horizontal="left"/>
    </xf>
    <xf numFmtId="0" fontId="51" fillId="0" borderId="0" xfId="0" applyFont="1" applyAlignment="1">
      <alignment horizontal="left" vertical="center" wrapText="1"/>
    </xf>
    <xf numFmtId="0" fontId="51" fillId="0" borderId="0" xfId="0" applyFont="1" applyAlignment="1">
      <alignment horizontal="left"/>
    </xf>
    <xf numFmtId="0" fontId="55" fillId="0" borderId="0" xfId="0" applyFont="1" applyAlignment="1">
      <alignment horizontal="center"/>
    </xf>
    <xf numFmtId="0" fontId="70" fillId="16" borderId="28" xfId="0" applyFont="1" applyFill="1" applyBorder="1" applyAlignment="1">
      <alignment horizontal="center" vertical="center" wrapText="1"/>
    </xf>
    <xf numFmtId="0" fontId="70" fillId="16" borderId="30" xfId="0" applyFont="1" applyFill="1" applyBorder="1" applyAlignment="1">
      <alignment horizontal="center" vertical="center" wrapText="1"/>
    </xf>
    <xf numFmtId="0" fontId="70" fillId="16" borderId="36" xfId="0" applyFont="1" applyFill="1" applyBorder="1" applyAlignment="1">
      <alignment horizontal="center" vertical="center"/>
    </xf>
    <xf numFmtId="0" fontId="70" fillId="16" borderId="32" xfId="0" applyFont="1" applyFill="1" applyBorder="1" applyAlignment="1">
      <alignment horizontal="center" vertical="center"/>
    </xf>
    <xf numFmtId="0" fontId="70" fillId="16" borderId="27" xfId="0" applyFont="1" applyFill="1" applyBorder="1" applyAlignment="1">
      <alignment horizontal="center" vertical="center"/>
    </xf>
    <xf numFmtId="0" fontId="70" fillId="16" borderId="1" xfId="0" applyFont="1" applyFill="1" applyBorder="1" applyAlignment="1">
      <alignment horizontal="center" vertical="center"/>
    </xf>
    <xf numFmtId="0" fontId="48" fillId="8" borderId="50" xfId="0" applyFont="1" applyFill="1" applyBorder="1" applyAlignment="1">
      <alignment horizontal="center" vertical="center" wrapText="1"/>
    </xf>
    <xf numFmtId="0" fontId="48" fillId="8" borderId="43" xfId="0" applyFont="1" applyFill="1" applyBorder="1" applyAlignment="1">
      <alignment horizontal="center" vertical="center" wrapText="1"/>
    </xf>
    <xf numFmtId="3" fontId="48" fillId="8" borderId="43" xfId="0" applyNumberFormat="1" applyFont="1" applyFill="1" applyBorder="1" applyAlignment="1">
      <alignment horizontal="center" vertical="center" wrapText="1"/>
    </xf>
    <xf numFmtId="0" fontId="52" fillId="0" borderId="0" xfId="0" applyFont="1" applyAlignment="1">
      <alignment horizontal="center" vertical="center" wrapText="1"/>
    </xf>
    <xf numFmtId="0" fontId="52" fillId="0" borderId="0" xfId="0" applyFont="1" applyBorder="1" applyAlignment="1">
      <alignment horizontal="center" vertical="center" wrapText="1"/>
    </xf>
    <xf numFmtId="0" fontId="50" fillId="8" borderId="0" xfId="0" applyFont="1" applyFill="1" applyAlignment="1">
      <alignment horizontal="left" vertical="center" wrapText="1"/>
    </xf>
    <xf numFmtId="0" fontId="48" fillId="8" borderId="36" xfId="0" applyFont="1" applyFill="1" applyBorder="1" applyAlignment="1">
      <alignment horizontal="center" wrapText="1"/>
    </xf>
    <xf numFmtId="0" fontId="48" fillId="8" borderId="27" xfId="0" applyFont="1" applyFill="1" applyBorder="1" applyAlignment="1">
      <alignment horizontal="center" wrapText="1"/>
    </xf>
    <xf numFmtId="0" fontId="48" fillId="8" borderId="28" xfId="0" applyFont="1" applyFill="1" applyBorder="1" applyAlignment="1">
      <alignment horizontal="center" wrapText="1"/>
    </xf>
    <xf numFmtId="0" fontId="48" fillId="8" borderId="32" xfId="0" applyFont="1" applyFill="1" applyBorder="1" applyAlignment="1">
      <alignment horizontal="center" vertical="center" wrapText="1"/>
    </xf>
    <xf numFmtId="0" fontId="48" fillId="8" borderId="1" xfId="0" applyFont="1" applyFill="1" applyBorder="1" applyAlignment="1">
      <alignment horizontal="center" vertical="center" wrapText="1"/>
    </xf>
    <xf numFmtId="0" fontId="48" fillId="8" borderId="33" xfId="0" applyFont="1" applyFill="1" applyBorder="1" applyAlignment="1">
      <alignment horizontal="center" vertical="center" wrapText="1"/>
    </xf>
    <xf numFmtId="0" fontId="48" fillId="8" borderId="34" xfId="0" applyFont="1" applyFill="1" applyBorder="1" applyAlignment="1">
      <alignment horizontal="center" vertical="center" wrapText="1"/>
    </xf>
    <xf numFmtId="49" fontId="50" fillId="8" borderId="1" xfId="0" applyNumberFormat="1" applyFont="1" applyFill="1" applyBorder="1" applyAlignment="1">
      <alignment horizontal="center" vertical="center" wrapText="1"/>
    </xf>
    <xf numFmtId="49" fontId="50" fillId="8" borderId="34" xfId="0" applyNumberFormat="1" applyFont="1" applyFill="1" applyBorder="1" applyAlignment="1">
      <alignment horizontal="center" vertical="center" wrapText="1"/>
    </xf>
    <xf numFmtId="3" fontId="50" fillId="8" borderId="30" xfId="0" applyNumberFormat="1" applyFont="1" applyFill="1" applyBorder="1" applyAlignment="1">
      <alignment horizontal="center" vertical="center" wrapText="1"/>
    </xf>
    <xf numFmtId="3" fontId="50" fillId="8" borderId="35" xfId="0" applyNumberFormat="1" applyFont="1" applyFill="1" applyBorder="1" applyAlignment="1">
      <alignment horizontal="center" vertical="center" wrapText="1"/>
    </xf>
    <xf numFmtId="0" fontId="95" fillId="0" borderId="0" xfId="0" applyFont="1" applyAlignment="1">
      <alignment horizontal="center" vertical="center" wrapText="1"/>
    </xf>
    <xf numFmtId="0" fontId="96" fillId="8" borderId="0" xfId="0" applyFont="1" applyFill="1" applyAlignment="1">
      <alignment horizontal="center" vertical="center" wrapText="1"/>
    </xf>
  </cellXfs>
  <cellStyles count="8">
    <cellStyle name="Dziesiętny" xfId="1" builtinId="3"/>
    <cellStyle name="Dziesiętny 2" xfId="4"/>
    <cellStyle name="Normalny" xfId="0" builtinId="0"/>
    <cellStyle name="Normalny 2" xfId="7"/>
    <cellStyle name="Normalny_ukł_wykon 2004 r._zmiany" xfId="6"/>
    <cellStyle name="Normalny_WYDATKI" xfId="2"/>
    <cellStyle name="Normalny_Zestawienie wydatków_4" xfId="5"/>
    <cellStyle name="Procentowy" xfId="3" builtinId="5"/>
  </cellStyles>
  <dxfs count="0"/>
  <tableStyles count="0" defaultTableStyle="TableStyleMedium9" defaultPivotStyle="PivotStyleLight16"/>
  <colors>
    <mruColors>
      <color rgb="FF99100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73"/>
  <sheetViews>
    <sheetView topLeftCell="A132" workbookViewId="0">
      <selection activeCell="F679" sqref="F679"/>
    </sheetView>
  </sheetViews>
  <sheetFormatPr defaultColWidth="9.140625" defaultRowHeight="12.75"/>
  <cols>
    <col min="1" max="1" width="4.85546875" style="5" customWidth="1"/>
    <col min="2" max="2" width="6.140625" style="5" customWidth="1"/>
    <col min="3" max="3" width="5.140625" style="5" customWidth="1"/>
    <col min="4" max="4" width="36.85546875" style="5" customWidth="1"/>
    <col min="5" max="5" width="11.42578125" style="6" customWidth="1"/>
    <col min="6" max="6" width="11.5703125" style="6" customWidth="1"/>
    <col min="7" max="7" width="9.28515625" style="6" customWidth="1"/>
    <col min="8" max="8" width="6.85546875" style="49" customWidth="1"/>
    <col min="9" max="9" width="12.28515625" style="5" hidden="1" customWidth="1"/>
    <col min="10" max="10" width="14.42578125" style="5" hidden="1" customWidth="1"/>
    <col min="11" max="11" width="15.5703125" style="5" hidden="1" customWidth="1"/>
    <col min="12" max="12" width="18.42578125" style="80" hidden="1" customWidth="1"/>
    <col min="13" max="13" width="15.28515625" style="80" hidden="1" customWidth="1"/>
    <col min="14" max="17" width="0" style="5" hidden="1" customWidth="1"/>
    <col min="18" max="16384" width="9.140625" style="5"/>
  </cols>
  <sheetData>
    <row r="1" spans="1:13" hidden="1"/>
    <row r="2" spans="1:13" hidden="1"/>
    <row r="3" spans="1:13" hidden="1"/>
    <row r="4" spans="1:13">
      <c r="E4" s="3" t="s">
        <v>298</v>
      </c>
    </row>
    <row r="5" spans="1:13">
      <c r="E5" s="4" t="s">
        <v>297</v>
      </c>
    </row>
    <row r="6" spans="1:13">
      <c r="E6" s="4" t="s">
        <v>334</v>
      </c>
    </row>
    <row r="8" spans="1:13" ht="15.75">
      <c r="A8" s="719" t="s">
        <v>302</v>
      </c>
      <c r="B8" s="719"/>
      <c r="C8" s="719"/>
      <c r="D8" s="719"/>
      <c r="E8" s="719"/>
      <c r="G8" s="7"/>
    </row>
    <row r="10" spans="1:13" ht="17.25" customHeight="1">
      <c r="A10" s="45" t="s">
        <v>63</v>
      </c>
      <c r="B10" s="20"/>
      <c r="C10" s="20"/>
      <c r="D10" s="720" t="s">
        <v>0</v>
      </c>
      <c r="E10" s="721" t="s">
        <v>299</v>
      </c>
      <c r="F10" s="722" t="s">
        <v>300</v>
      </c>
      <c r="G10" s="716" t="s">
        <v>301</v>
      </c>
      <c r="H10" s="717" t="s">
        <v>67</v>
      </c>
    </row>
    <row r="11" spans="1:13" ht="23.25" customHeight="1">
      <c r="A11" s="138" t="s">
        <v>1</v>
      </c>
      <c r="B11" s="34" t="s">
        <v>2</v>
      </c>
      <c r="C11" s="34" t="s">
        <v>3</v>
      </c>
      <c r="D11" s="720"/>
      <c r="E11" s="721"/>
      <c r="F11" s="722"/>
      <c r="G11" s="716"/>
      <c r="H11" s="717"/>
    </row>
    <row r="12" spans="1:13">
      <c r="A12" s="34" t="s">
        <v>4</v>
      </c>
      <c r="B12" s="34" t="s">
        <v>5</v>
      </c>
      <c r="C12" s="34" t="s">
        <v>6</v>
      </c>
      <c r="D12" s="34" t="s">
        <v>7</v>
      </c>
      <c r="E12" s="111" t="s">
        <v>8</v>
      </c>
      <c r="F12" s="99" t="s">
        <v>64</v>
      </c>
      <c r="G12" s="99" t="s">
        <v>65</v>
      </c>
      <c r="H12" s="112" t="s">
        <v>66</v>
      </c>
    </row>
    <row r="13" spans="1:13">
      <c r="A13" s="8" t="s">
        <v>9</v>
      </c>
      <c r="B13" s="9"/>
      <c r="C13" s="9"/>
      <c r="D13" s="10" t="s">
        <v>158</v>
      </c>
      <c r="E13" s="11">
        <f>SUM(E18+E14+E20+E22)</f>
        <v>869334.35</v>
      </c>
      <c r="F13" s="11">
        <f>SUM(F18+F14+F20+F22)</f>
        <v>211445.92</v>
      </c>
      <c r="G13" s="11">
        <f>SUM(G18+G14+G20+G22)</f>
        <v>0</v>
      </c>
      <c r="H13" s="12">
        <f>F13/E13</f>
        <v>0.24322738426245324</v>
      </c>
    </row>
    <row r="14" spans="1:13" s="18" customFormat="1" ht="21.75" customHeight="1">
      <c r="A14" s="13"/>
      <c r="B14" s="14" t="s">
        <v>10</v>
      </c>
      <c r="C14" s="14"/>
      <c r="D14" s="15" t="s">
        <v>159</v>
      </c>
      <c r="E14" s="16">
        <f>SUM(E15:E17)</f>
        <v>652365</v>
      </c>
      <c r="F14" s="16">
        <f>SUM(F15:F17)</f>
        <v>8250</v>
      </c>
      <c r="G14" s="16">
        <f>SUM(G15:G17)</f>
        <v>0</v>
      </c>
      <c r="H14" s="17">
        <f>SUM(H15:H17)</f>
        <v>1.2803302476081102E-2</v>
      </c>
      <c r="L14" s="127"/>
      <c r="M14" s="127"/>
    </row>
    <row r="15" spans="1:13" s="24" customFormat="1">
      <c r="A15" s="19"/>
      <c r="B15" s="20"/>
      <c r="C15" s="21">
        <v>4270</v>
      </c>
      <c r="D15" s="22" t="s">
        <v>21</v>
      </c>
      <c r="E15" s="107">
        <v>5000</v>
      </c>
      <c r="F15" s="107">
        <v>0</v>
      </c>
      <c r="G15" s="107">
        <v>0</v>
      </c>
      <c r="H15" s="23">
        <f>F15/E15</f>
        <v>0</v>
      </c>
      <c r="L15" s="79"/>
      <c r="M15" s="79"/>
    </row>
    <row r="16" spans="1:13" s="24" customFormat="1">
      <c r="A16" s="19"/>
      <c r="B16" s="20"/>
      <c r="C16" s="25">
        <v>4300</v>
      </c>
      <c r="D16" s="20" t="s">
        <v>13</v>
      </c>
      <c r="E16" s="107">
        <v>3000</v>
      </c>
      <c r="F16" s="107">
        <v>0</v>
      </c>
      <c r="G16" s="107">
        <v>0</v>
      </c>
      <c r="H16" s="23">
        <f t="shared" ref="H16:H79" si="0">F16/E16</f>
        <v>0</v>
      </c>
      <c r="L16" s="79"/>
      <c r="M16" s="79"/>
    </row>
    <row r="17" spans="1:13" s="24" customFormat="1" ht="18" customHeight="1">
      <c r="A17" s="19"/>
      <c r="B17" s="20"/>
      <c r="C17" s="25">
        <v>6050</v>
      </c>
      <c r="D17" s="22" t="s">
        <v>160</v>
      </c>
      <c r="E17" s="107">
        <v>644365</v>
      </c>
      <c r="F17" s="107">
        <v>8250</v>
      </c>
      <c r="G17" s="107">
        <v>0</v>
      </c>
      <c r="H17" s="23">
        <f t="shared" si="0"/>
        <v>1.2803302476081102E-2</v>
      </c>
      <c r="L17" s="79"/>
      <c r="M17" s="79"/>
    </row>
    <row r="18" spans="1:13" ht="52.5" customHeight="1">
      <c r="A18" s="9"/>
      <c r="B18" s="124" t="s">
        <v>12</v>
      </c>
      <c r="C18" s="9"/>
      <c r="D18" s="26" t="s">
        <v>161</v>
      </c>
      <c r="E18" s="27">
        <f>E19</f>
        <v>3300</v>
      </c>
      <c r="F18" s="28">
        <f>F19</f>
        <v>1092</v>
      </c>
      <c r="G18" s="27">
        <f>G19</f>
        <v>0</v>
      </c>
      <c r="H18" s="29">
        <f t="shared" si="0"/>
        <v>0.33090909090909093</v>
      </c>
    </row>
    <row r="19" spans="1:13">
      <c r="A19" s="25"/>
      <c r="B19" s="20"/>
      <c r="C19" s="25">
        <v>4300</v>
      </c>
      <c r="D19" s="20" t="s">
        <v>13</v>
      </c>
      <c r="E19" s="107">
        <v>3300</v>
      </c>
      <c r="F19" s="107">
        <v>1092</v>
      </c>
      <c r="G19" s="107">
        <v>0</v>
      </c>
      <c r="H19" s="23">
        <f t="shared" si="0"/>
        <v>0.33090909090909093</v>
      </c>
    </row>
    <row r="20" spans="1:13" s="18" customFormat="1">
      <c r="A20" s="123"/>
      <c r="B20" s="123" t="s">
        <v>14</v>
      </c>
      <c r="C20" s="123"/>
      <c r="D20" s="14" t="s">
        <v>15</v>
      </c>
      <c r="E20" s="16">
        <f>SUM(E21)</f>
        <v>21520</v>
      </c>
      <c r="F20" s="30">
        <f>SUM(F21)</f>
        <v>9954.57</v>
      </c>
      <c r="G20" s="16">
        <f>SUM(G21)</f>
        <v>0</v>
      </c>
      <c r="H20" s="17">
        <f t="shared" si="0"/>
        <v>0.46257295539033455</v>
      </c>
      <c r="L20" s="127"/>
      <c r="M20" s="127"/>
    </row>
    <row r="21" spans="1:13" ht="38.25" customHeight="1">
      <c r="A21" s="25"/>
      <c r="B21" s="20"/>
      <c r="C21" s="31" t="s">
        <v>177</v>
      </c>
      <c r="D21" s="32" t="s">
        <v>162</v>
      </c>
      <c r="E21" s="107">
        <v>21520</v>
      </c>
      <c r="F21" s="107">
        <v>9954.57</v>
      </c>
      <c r="G21" s="107">
        <v>0</v>
      </c>
      <c r="H21" s="23">
        <f t="shared" si="0"/>
        <v>0.46257295539033455</v>
      </c>
    </row>
    <row r="22" spans="1:13" s="18" customFormat="1" ht="16.5" customHeight="1">
      <c r="A22" s="123"/>
      <c r="B22" s="123" t="s">
        <v>16</v>
      </c>
      <c r="C22" s="123"/>
      <c r="D22" s="33" t="s">
        <v>17</v>
      </c>
      <c r="E22" s="16">
        <f>SUM(E23:E29)</f>
        <v>192149.35</v>
      </c>
      <c r="F22" s="16">
        <f>SUM(F23:F29)</f>
        <v>192149.35</v>
      </c>
      <c r="G22" s="16">
        <f>SUM(G23:G29)</f>
        <v>0</v>
      </c>
      <c r="H22" s="17">
        <f t="shared" si="0"/>
        <v>1</v>
      </c>
      <c r="L22" s="127"/>
      <c r="M22" s="127"/>
    </row>
    <row r="23" spans="1:13" s="18" customFormat="1" ht="16.5" customHeight="1">
      <c r="A23" s="34"/>
      <c r="B23" s="34"/>
      <c r="C23" s="31" t="s">
        <v>170</v>
      </c>
      <c r="D23" s="32" t="s">
        <v>45</v>
      </c>
      <c r="E23" s="107">
        <v>197.47</v>
      </c>
      <c r="F23" s="107">
        <v>197.47</v>
      </c>
      <c r="G23" s="107">
        <v>0</v>
      </c>
      <c r="H23" s="23">
        <f t="shared" si="0"/>
        <v>1</v>
      </c>
      <c r="L23" s="127"/>
      <c r="M23" s="127"/>
    </row>
    <row r="24" spans="1:13" s="18" customFormat="1" ht="16.5" customHeight="1">
      <c r="A24" s="34"/>
      <c r="B24" s="34"/>
      <c r="C24" s="31" t="s">
        <v>171</v>
      </c>
      <c r="D24" s="32" t="s">
        <v>163</v>
      </c>
      <c r="E24" s="107">
        <v>31.85</v>
      </c>
      <c r="F24" s="107">
        <v>31.85</v>
      </c>
      <c r="G24" s="107">
        <v>0</v>
      </c>
      <c r="H24" s="23">
        <f t="shared" si="0"/>
        <v>1</v>
      </c>
      <c r="L24" s="127"/>
      <c r="M24" s="127"/>
    </row>
    <row r="25" spans="1:13" s="18" customFormat="1" ht="16.5" customHeight="1">
      <c r="A25" s="34"/>
      <c r="B25" s="34"/>
      <c r="C25" s="31" t="s">
        <v>172</v>
      </c>
      <c r="D25" s="32" t="s">
        <v>164</v>
      </c>
      <c r="E25" s="107">
        <v>1300</v>
      </c>
      <c r="F25" s="107">
        <v>1300</v>
      </c>
      <c r="G25" s="107">
        <v>0</v>
      </c>
      <c r="H25" s="23">
        <f t="shared" si="0"/>
        <v>1</v>
      </c>
      <c r="L25" s="127"/>
      <c r="M25" s="127"/>
    </row>
    <row r="26" spans="1:13" s="35" customFormat="1" ht="16.5" customHeight="1">
      <c r="A26" s="34"/>
      <c r="B26" s="34"/>
      <c r="C26" s="31" t="s">
        <v>173</v>
      </c>
      <c r="D26" s="32" t="s">
        <v>11</v>
      </c>
      <c r="E26" s="107">
        <v>1310.31</v>
      </c>
      <c r="F26" s="107">
        <v>1310.31</v>
      </c>
      <c r="G26" s="107">
        <v>0</v>
      </c>
      <c r="H26" s="23">
        <f t="shared" si="0"/>
        <v>1</v>
      </c>
      <c r="J26" s="36"/>
      <c r="L26" s="128"/>
      <c r="M26" s="128"/>
    </row>
    <row r="27" spans="1:13" s="35" customFormat="1" ht="16.5" customHeight="1">
      <c r="A27" s="34"/>
      <c r="B27" s="34"/>
      <c r="C27" s="31" t="s">
        <v>174</v>
      </c>
      <c r="D27" s="32" t="s">
        <v>13</v>
      </c>
      <c r="E27" s="107">
        <v>916</v>
      </c>
      <c r="F27" s="107">
        <v>916</v>
      </c>
      <c r="G27" s="107">
        <v>0</v>
      </c>
      <c r="H27" s="23">
        <f t="shared" si="0"/>
        <v>1</v>
      </c>
      <c r="J27" s="36"/>
      <c r="L27" s="128"/>
      <c r="M27" s="128"/>
    </row>
    <row r="28" spans="1:13" s="35" customFormat="1" ht="16.5" customHeight="1">
      <c r="A28" s="34"/>
      <c r="B28" s="34"/>
      <c r="C28" s="31" t="s">
        <v>176</v>
      </c>
      <c r="D28" s="32" t="s">
        <v>26</v>
      </c>
      <c r="E28" s="107">
        <v>188381.72</v>
      </c>
      <c r="F28" s="107">
        <v>188381.72</v>
      </c>
      <c r="G28" s="107">
        <v>0</v>
      </c>
      <c r="H28" s="23">
        <f t="shared" si="0"/>
        <v>1</v>
      </c>
      <c r="L28" s="128"/>
      <c r="M28" s="128"/>
    </row>
    <row r="29" spans="1:13" s="35" customFormat="1" ht="16.5" customHeight="1">
      <c r="A29" s="34"/>
      <c r="B29" s="34"/>
      <c r="C29" s="31" t="s">
        <v>194</v>
      </c>
      <c r="D29" s="32" t="s">
        <v>190</v>
      </c>
      <c r="E29" s="107">
        <v>12</v>
      </c>
      <c r="F29" s="107">
        <v>12</v>
      </c>
      <c r="G29" s="107">
        <v>0</v>
      </c>
      <c r="H29" s="23">
        <f t="shared" si="0"/>
        <v>1</v>
      </c>
      <c r="L29" s="128"/>
      <c r="M29" s="128"/>
    </row>
    <row r="30" spans="1:13" s="18" customFormat="1" ht="23.25" customHeight="1">
      <c r="A30" s="124">
        <v>400</v>
      </c>
      <c r="B30" s="37"/>
      <c r="C30" s="38"/>
      <c r="D30" s="10" t="s">
        <v>287</v>
      </c>
      <c r="E30" s="27">
        <f>E31</f>
        <v>139435</v>
      </c>
      <c r="F30" s="28">
        <f>F31</f>
        <v>49716</v>
      </c>
      <c r="G30" s="28">
        <f>G31</f>
        <v>0</v>
      </c>
      <c r="H30" s="29">
        <f t="shared" si="0"/>
        <v>0.35655323268906658</v>
      </c>
      <c r="L30" s="127"/>
      <c r="M30" s="127"/>
    </row>
    <row r="31" spans="1:13" s="18" customFormat="1" ht="15" customHeight="1">
      <c r="A31" s="123"/>
      <c r="B31" s="14">
        <v>40002</v>
      </c>
      <c r="C31" s="39"/>
      <c r="D31" s="15" t="s">
        <v>19</v>
      </c>
      <c r="E31" s="16">
        <f>SUM(E32:E33)</f>
        <v>139435</v>
      </c>
      <c r="F31" s="16">
        <f>SUM(F32:F33)</f>
        <v>49716</v>
      </c>
      <c r="G31" s="16">
        <f>SUM(G32:G33)</f>
        <v>0</v>
      </c>
      <c r="H31" s="17">
        <f t="shared" si="0"/>
        <v>0.35655323268906658</v>
      </c>
      <c r="L31" s="127"/>
      <c r="M31" s="127"/>
    </row>
    <row r="32" spans="1:13" ht="27.75" customHeight="1">
      <c r="A32" s="25"/>
      <c r="B32" s="20"/>
      <c r="C32" s="31" t="s">
        <v>178</v>
      </c>
      <c r="D32" s="32" t="s">
        <v>165</v>
      </c>
      <c r="E32" s="107">
        <v>99435</v>
      </c>
      <c r="F32" s="107">
        <v>49716</v>
      </c>
      <c r="G32" s="107">
        <v>0</v>
      </c>
      <c r="H32" s="23">
        <f t="shared" si="0"/>
        <v>0.4999849147684417</v>
      </c>
    </row>
    <row r="33" spans="1:13" ht="49.5" customHeight="1">
      <c r="A33" s="25"/>
      <c r="B33" s="20"/>
      <c r="C33" s="31" t="s">
        <v>276</v>
      </c>
      <c r="D33" s="32" t="s">
        <v>277</v>
      </c>
      <c r="E33" s="107">
        <v>40000</v>
      </c>
      <c r="F33" s="107">
        <v>0</v>
      </c>
      <c r="G33" s="107">
        <v>0</v>
      </c>
      <c r="H33" s="23">
        <f t="shared" si="0"/>
        <v>0</v>
      </c>
    </row>
    <row r="34" spans="1:13">
      <c r="A34" s="8">
        <v>600</v>
      </c>
      <c r="B34" s="9"/>
      <c r="C34" s="38"/>
      <c r="D34" s="10" t="s">
        <v>288</v>
      </c>
      <c r="E34" s="11">
        <f>E35+E38</f>
        <v>1484807</v>
      </c>
      <c r="F34" s="11">
        <f>F35+F38</f>
        <v>105625.76000000001</v>
      </c>
      <c r="G34" s="11">
        <f>G35+G38</f>
        <v>0</v>
      </c>
      <c r="H34" s="29">
        <f t="shared" si="0"/>
        <v>7.1137703418693479E-2</v>
      </c>
    </row>
    <row r="35" spans="1:13" s="18" customFormat="1" hidden="1">
      <c r="A35" s="123"/>
      <c r="B35" s="14">
        <v>60014</v>
      </c>
      <c r="C35" s="39"/>
      <c r="D35" s="15" t="s">
        <v>137</v>
      </c>
      <c r="E35" s="16">
        <f>SUM(E36:E37)</f>
        <v>0</v>
      </c>
      <c r="F35" s="16">
        <f>SUM(F36:F37)</f>
        <v>0</v>
      </c>
      <c r="G35" s="16">
        <f>SUM(G36:G37)</f>
        <v>0</v>
      </c>
      <c r="H35" s="17" t="e">
        <f t="shared" si="0"/>
        <v>#DIV/0!</v>
      </c>
      <c r="L35" s="127"/>
      <c r="M35" s="127"/>
    </row>
    <row r="36" spans="1:13" s="18" customFormat="1" ht="51" hidden="1">
      <c r="A36" s="40"/>
      <c r="B36" s="41"/>
      <c r="C36" s="31" t="s">
        <v>168</v>
      </c>
      <c r="D36" s="42" t="s">
        <v>166</v>
      </c>
      <c r="E36" s="107"/>
      <c r="F36" s="107"/>
      <c r="G36" s="107">
        <v>0</v>
      </c>
      <c r="H36" s="23" t="e">
        <f t="shared" si="0"/>
        <v>#DIV/0!</v>
      </c>
      <c r="L36" s="127"/>
      <c r="M36" s="127"/>
    </row>
    <row r="37" spans="1:13" ht="38.25" hidden="1" customHeight="1">
      <c r="A37" s="43"/>
      <c r="B37" s="20"/>
      <c r="C37" s="31" t="s">
        <v>169</v>
      </c>
      <c r="D37" s="32" t="s">
        <v>167</v>
      </c>
      <c r="E37" s="107"/>
      <c r="F37" s="107"/>
      <c r="G37" s="107">
        <v>0</v>
      </c>
      <c r="H37" s="23" t="e">
        <f t="shared" si="0"/>
        <v>#DIV/0!</v>
      </c>
    </row>
    <row r="38" spans="1:13" s="18" customFormat="1">
      <c r="A38" s="123"/>
      <c r="B38" s="123">
        <v>60016</v>
      </c>
      <c r="C38" s="39"/>
      <c r="D38" s="15" t="s">
        <v>20</v>
      </c>
      <c r="E38" s="16">
        <f>SUM(E39:E42)</f>
        <v>1484807</v>
      </c>
      <c r="F38" s="16">
        <f>SUM(F39:F42)</f>
        <v>105625.76000000001</v>
      </c>
      <c r="G38" s="16">
        <f>SUM(G39:G42)</f>
        <v>0</v>
      </c>
      <c r="H38" s="17">
        <f t="shared" si="0"/>
        <v>7.1137703418693479E-2</v>
      </c>
      <c r="L38" s="127"/>
      <c r="M38" s="127"/>
    </row>
    <row r="39" spans="1:13">
      <c r="A39" s="25"/>
      <c r="B39" s="20"/>
      <c r="C39" s="31" t="s">
        <v>173</v>
      </c>
      <c r="D39" s="32" t="s">
        <v>11</v>
      </c>
      <c r="E39" s="107">
        <v>20000</v>
      </c>
      <c r="F39" s="107">
        <v>13168.68</v>
      </c>
      <c r="G39" s="107"/>
      <c r="H39" s="23">
        <f t="shared" si="0"/>
        <v>0.65843399999999996</v>
      </c>
    </row>
    <row r="40" spans="1:13">
      <c r="A40" s="20"/>
      <c r="B40" s="20"/>
      <c r="C40" s="31" t="s">
        <v>179</v>
      </c>
      <c r="D40" s="32" t="s">
        <v>21</v>
      </c>
      <c r="E40" s="107">
        <v>210000</v>
      </c>
      <c r="F40" s="107">
        <v>27604.400000000001</v>
      </c>
      <c r="G40" s="107"/>
      <c r="H40" s="23">
        <f t="shared" si="0"/>
        <v>0.13144952380952382</v>
      </c>
      <c r="L40" s="80">
        <v>7804.39</v>
      </c>
    </row>
    <row r="41" spans="1:13">
      <c r="A41" s="20"/>
      <c r="B41" s="20"/>
      <c r="C41" s="31" t="s">
        <v>174</v>
      </c>
      <c r="D41" s="32" t="s">
        <v>13</v>
      </c>
      <c r="E41" s="107">
        <v>96732</v>
      </c>
      <c r="F41" s="107">
        <v>64852.68</v>
      </c>
      <c r="G41" s="107"/>
      <c r="H41" s="23">
        <f t="shared" si="0"/>
        <v>0.67043667038828925</v>
      </c>
    </row>
    <row r="42" spans="1:13" ht="14.25" customHeight="1">
      <c r="A42" s="20"/>
      <c r="B42" s="20"/>
      <c r="C42" s="31" t="s">
        <v>180</v>
      </c>
      <c r="D42" s="32" t="s">
        <v>160</v>
      </c>
      <c r="E42" s="107">
        <v>1158075</v>
      </c>
      <c r="F42" s="107">
        <v>0</v>
      </c>
      <c r="G42" s="107"/>
      <c r="H42" s="23">
        <f t="shared" si="0"/>
        <v>0</v>
      </c>
    </row>
    <row r="43" spans="1:13" ht="14.25" customHeight="1">
      <c r="A43" s="8">
        <v>630</v>
      </c>
      <c r="B43" s="9"/>
      <c r="C43" s="38"/>
      <c r="D43" s="10" t="s">
        <v>303</v>
      </c>
      <c r="E43" s="11">
        <f t="shared" ref="E43:G44" si="1">E44</f>
        <v>5000</v>
      </c>
      <c r="F43" s="11">
        <f t="shared" si="1"/>
        <v>0</v>
      </c>
      <c r="G43" s="11">
        <f t="shared" si="1"/>
        <v>0</v>
      </c>
      <c r="H43" s="29">
        <f t="shared" si="0"/>
        <v>0</v>
      </c>
    </row>
    <row r="44" spans="1:13" ht="24" customHeight="1">
      <c r="A44" s="13"/>
      <c r="B44" s="14">
        <v>63003</v>
      </c>
      <c r="C44" s="39"/>
      <c r="D44" s="15" t="s">
        <v>304</v>
      </c>
      <c r="E44" s="16">
        <f t="shared" si="1"/>
        <v>5000</v>
      </c>
      <c r="F44" s="16">
        <f t="shared" si="1"/>
        <v>0</v>
      </c>
      <c r="G44" s="16">
        <f t="shared" si="1"/>
        <v>0</v>
      </c>
      <c r="H44" s="143">
        <f>SUM(H45:H45)</f>
        <v>0.38841060893328105</v>
      </c>
    </row>
    <row r="45" spans="1:13" ht="39.75" customHeight="1">
      <c r="A45" s="20"/>
      <c r="B45" s="20"/>
      <c r="C45" s="31" t="s">
        <v>285</v>
      </c>
      <c r="D45" s="32" t="s">
        <v>286</v>
      </c>
      <c r="E45" s="107">
        <v>5000</v>
      </c>
      <c r="F45" s="107">
        <v>0</v>
      </c>
      <c r="G45" s="107"/>
      <c r="H45" s="144">
        <f>SUM(H46:H46)</f>
        <v>0.38841060893328105</v>
      </c>
    </row>
    <row r="46" spans="1:13">
      <c r="A46" s="8">
        <v>700</v>
      </c>
      <c r="B46" s="9"/>
      <c r="C46" s="38"/>
      <c r="D46" s="10" t="s">
        <v>289</v>
      </c>
      <c r="E46" s="11">
        <f>SUM(E49+E59+E47)</f>
        <v>472055</v>
      </c>
      <c r="F46" s="11">
        <f>SUM(F49+F59+F47)</f>
        <v>183351.16999999998</v>
      </c>
      <c r="G46" s="11">
        <f>SUM(G49+G59+G47)</f>
        <v>545.25</v>
      </c>
      <c r="H46" s="29">
        <f t="shared" si="0"/>
        <v>0.38841060893328105</v>
      </c>
    </row>
    <row r="47" spans="1:13" s="35" customFormat="1" ht="16.5" customHeight="1">
      <c r="A47" s="13"/>
      <c r="B47" s="14">
        <v>70001</v>
      </c>
      <c r="C47" s="39"/>
      <c r="D47" s="15" t="s">
        <v>23</v>
      </c>
      <c r="E47" s="16">
        <f>SUM(E48:E48)</f>
        <v>7455</v>
      </c>
      <c r="F47" s="16">
        <f>SUM(F48:F48)</f>
        <v>0</v>
      </c>
      <c r="G47" s="44">
        <f>SUM(G48:G48)</f>
        <v>0</v>
      </c>
      <c r="H47" s="143">
        <f>SUM(H48:H48)</f>
        <v>0</v>
      </c>
      <c r="J47" s="36"/>
      <c r="L47" s="128"/>
      <c r="M47" s="128"/>
    </row>
    <row r="48" spans="1:13" s="24" customFormat="1" ht="25.5">
      <c r="A48" s="43"/>
      <c r="B48" s="45"/>
      <c r="C48" s="31" t="s">
        <v>178</v>
      </c>
      <c r="D48" s="32" t="s">
        <v>165</v>
      </c>
      <c r="E48" s="107">
        <v>7455</v>
      </c>
      <c r="F48" s="107">
        <v>0</v>
      </c>
      <c r="G48" s="107">
        <v>0</v>
      </c>
      <c r="H48" s="23">
        <f t="shared" si="0"/>
        <v>0</v>
      </c>
      <c r="J48" s="46"/>
      <c r="L48" s="79"/>
      <c r="M48" s="79"/>
    </row>
    <row r="49" spans="1:13" s="18" customFormat="1">
      <c r="A49" s="14"/>
      <c r="B49" s="123">
        <v>70005</v>
      </c>
      <c r="C49" s="123"/>
      <c r="D49" s="15" t="s">
        <v>290</v>
      </c>
      <c r="E49" s="16">
        <f>SUM(E50:E58)</f>
        <v>464600</v>
      </c>
      <c r="F49" s="16">
        <f>SUM(F50:F58)</f>
        <v>183351.16999999998</v>
      </c>
      <c r="G49" s="16">
        <f>SUM(G50:G58)</f>
        <v>545.25</v>
      </c>
      <c r="H49" s="17">
        <f t="shared" si="0"/>
        <v>0.39464306930693066</v>
      </c>
      <c r="L49" s="127"/>
      <c r="M49" s="127"/>
    </row>
    <row r="50" spans="1:13">
      <c r="A50" s="20"/>
      <c r="B50" s="34"/>
      <c r="C50" s="31" t="s">
        <v>173</v>
      </c>
      <c r="D50" s="32" t="s">
        <v>11</v>
      </c>
      <c r="E50" s="107">
        <v>10000</v>
      </c>
      <c r="F50" s="107">
        <v>474.62</v>
      </c>
      <c r="G50" s="107">
        <v>81.81</v>
      </c>
      <c r="H50" s="23">
        <f t="shared" si="0"/>
        <v>4.7461999999999997E-2</v>
      </c>
      <c r="I50" s="47">
        <f>G50/F50</f>
        <v>0.17236947452699003</v>
      </c>
      <c r="J50" s="47">
        <f>H50/G50</f>
        <v>5.8014912602371346E-4</v>
      </c>
      <c r="L50" s="80">
        <f>F50+F51+F54+F55</f>
        <v>7930.91</v>
      </c>
    </row>
    <row r="51" spans="1:13">
      <c r="A51" s="20"/>
      <c r="B51" s="34"/>
      <c r="C51" s="31" t="s">
        <v>181</v>
      </c>
      <c r="D51" s="32" t="s">
        <v>24</v>
      </c>
      <c r="E51" s="107">
        <v>8000</v>
      </c>
      <c r="F51" s="107">
        <v>4197.1400000000003</v>
      </c>
      <c r="G51" s="107">
        <v>463.44</v>
      </c>
      <c r="H51" s="23">
        <f t="shared" si="0"/>
        <v>0.52464250000000001</v>
      </c>
    </row>
    <row r="52" spans="1:13" s="24" customFormat="1">
      <c r="A52" s="20"/>
      <c r="B52" s="34"/>
      <c r="C52" s="31" t="s">
        <v>179</v>
      </c>
      <c r="D52" s="32" t="s">
        <v>21</v>
      </c>
      <c r="E52" s="107">
        <v>170000</v>
      </c>
      <c r="F52" s="107">
        <v>130655.2</v>
      </c>
      <c r="G52" s="107"/>
      <c r="H52" s="23">
        <f t="shared" si="0"/>
        <v>0.76856000000000002</v>
      </c>
      <c r="L52" s="79"/>
      <c r="M52" s="79"/>
    </row>
    <row r="53" spans="1:13">
      <c r="A53" s="20"/>
      <c r="B53" s="20"/>
      <c r="C53" s="31" t="s">
        <v>174</v>
      </c>
      <c r="D53" s="32" t="s">
        <v>13</v>
      </c>
      <c r="E53" s="107">
        <v>104000</v>
      </c>
      <c r="F53" s="107">
        <v>28465.06</v>
      </c>
      <c r="G53" s="107"/>
      <c r="H53" s="23">
        <f t="shared" si="0"/>
        <v>0.27370250000000002</v>
      </c>
    </row>
    <row r="54" spans="1:13">
      <c r="A54" s="20"/>
      <c r="B54" s="20"/>
      <c r="C54" s="31" t="s">
        <v>175</v>
      </c>
      <c r="D54" s="32" t="s">
        <v>25</v>
      </c>
      <c r="E54" s="107">
        <v>1500</v>
      </c>
      <c r="F54" s="107">
        <v>713.84</v>
      </c>
      <c r="G54" s="107"/>
      <c r="H54" s="23">
        <f t="shared" si="0"/>
        <v>0.47589333333333333</v>
      </c>
      <c r="J54" s="48"/>
      <c r="K54" s="6">
        <f>E49-E57-E58</f>
        <v>318300</v>
      </c>
      <c r="L54" s="80">
        <f>F49-F57-F58</f>
        <v>167051.16999999998</v>
      </c>
      <c r="M54" s="129">
        <f>L54/K54</f>
        <v>0.52482302858938101</v>
      </c>
    </row>
    <row r="55" spans="1:13">
      <c r="A55" s="20"/>
      <c r="B55" s="20"/>
      <c r="C55" s="31" t="s">
        <v>176</v>
      </c>
      <c r="D55" s="32" t="s">
        <v>26</v>
      </c>
      <c r="E55" s="107">
        <v>7000</v>
      </c>
      <c r="F55" s="107">
        <v>2545.31</v>
      </c>
      <c r="G55" s="107"/>
      <c r="H55" s="23">
        <f t="shared" si="0"/>
        <v>0.36361571428571426</v>
      </c>
      <c r="J55" s="48"/>
    </row>
    <row r="56" spans="1:13">
      <c r="A56" s="20"/>
      <c r="B56" s="20"/>
      <c r="C56" s="31" t="s">
        <v>305</v>
      </c>
      <c r="D56" s="32" t="s">
        <v>306</v>
      </c>
      <c r="E56" s="107">
        <v>17800</v>
      </c>
      <c r="F56" s="107">
        <v>0</v>
      </c>
      <c r="G56" s="107"/>
      <c r="H56" s="23"/>
      <c r="J56" s="48"/>
    </row>
    <row r="57" spans="1:13" ht="14.25" customHeight="1">
      <c r="A57" s="20"/>
      <c r="B57" s="20"/>
      <c r="C57" s="31" t="s">
        <v>180</v>
      </c>
      <c r="D57" s="32" t="s">
        <v>160</v>
      </c>
      <c r="E57" s="107">
        <v>130000</v>
      </c>
      <c r="F57" s="107">
        <v>0</v>
      </c>
      <c r="G57" s="107"/>
      <c r="H57" s="23">
        <f t="shared" si="0"/>
        <v>0</v>
      </c>
      <c r="J57" s="48"/>
    </row>
    <row r="58" spans="1:13" ht="25.5">
      <c r="A58" s="20"/>
      <c r="B58" s="20"/>
      <c r="C58" s="31" t="s">
        <v>182</v>
      </c>
      <c r="D58" s="32" t="s">
        <v>34</v>
      </c>
      <c r="E58" s="107">
        <v>16300</v>
      </c>
      <c r="F58" s="107">
        <v>16300</v>
      </c>
      <c r="G58" s="107"/>
      <c r="H58" s="23">
        <f t="shared" si="0"/>
        <v>1</v>
      </c>
      <c r="I58" s="24"/>
    </row>
    <row r="59" spans="1:13" hidden="1">
      <c r="A59" s="50"/>
      <c r="B59" s="123">
        <v>70095</v>
      </c>
      <c r="C59" s="50"/>
      <c r="D59" s="14" t="s">
        <v>17</v>
      </c>
      <c r="E59" s="16">
        <f>SUM(E60:E61)</f>
        <v>0</v>
      </c>
      <c r="F59" s="16">
        <f>SUM(F60:F61)</f>
        <v>0</v>
      </c>
      <c r="G59" s="16">
        <f>SUM(G60:G61)</f>
        <v>0</v>
      </c>
      <c r="H59" s="17" t="e">
        <f t="shared" si="0"/>
        <v>#DIV/0!</v>
      </c>
    </row>
    <row r="60" spans="1:13" ht="13.5" hidden="1" customHeight="1">
      <c r="A60" s="20"/>
      <c r="B60" s="20"/>
      <c r="C60" s="25">
        <v>4210</v>
      </c>
      <c r="D60" s="20" t="s">
        <v>11</v>
      </c>
      <c r="E60" s="107"/>
      <c r="F60" s="107"/>
      <c r="G60" s="107"/>
      <c r="H60" s="23" t="e">
        <f t="shared" si="0"/>
        <v>#DIV/0!</v>
      </c>
    </row>
    <row r="61" spans="1:13" ht="12" hidden="1" customHeight="1">
      <c r="A61" s="20"/>
      <c r="B61" s="20"/>
      <c r="C61" s="25">
        <v>4300</v>
      </c>
      <c r="D61" s="20" t="s">
        <v>13</v>
      </c>
      <c r="E61" s="107"/>
      <c r="F61" s="107"/>
      <c r="G61" s="107"/>
      <c r="H61" s="23" t="e">
        <f t="shared" si="0"/>
        <v>#DIV/0!</v>
      </c>
    </row>
    <row r="62" spans="1:13">
      <c r="A62" s="124">
        <v>710</v>
      </c>
      <c r="B62" s="37"/>
      <c r="C62" s="38"/>
      <c r="D62" s="10" t="s">
        <v>291</v>
      </c>
      <c r="E62" s="27">
        <f>E63+E66</f>
        <v>140000</v>
      </c>
      <c r="F62" s="27">
        <f>F63+F66</f>
        <v>2664.78</v>
      </c>
      <c r="G62" s="27"/>
      <c r="H62" s="29">
        <f t="shared" si="0"/>
        <v>1.9034142857142857E-2</v>
      </c>
    </row>
    <row r="63" spans="1:13">
      <c r="A63" s="123"/>
      <c r="B63" s="14">
        <v>71004</v>
      </c>
      <c r="C63" s="51"/>
      <c r="D63" s="52" t="s">
        <v>292</v>
      </c>
      <c r="E63" s="16">
        <f>SUM(E64:E65)</f>
        <v>115000</v>
      </c>
      <c r="F63" s="16">
        <f>SUM(F64:F65)</f>
        <v>180</v>
      </c>
      <c r="G63" s="16">
        <f>SUM(G64:G65)</f>
        <v>0</v>
      </c>
      <c r="H63" s="53">
        <f t="shared" si="0"/>
        <v>1.5652173913043479E-3</v>
      </c>
    </row>
    <row r="64" spans="1:13">
      <c r="A64" s="34"/>
      <c r="B64" s="45"/>
      <c r="C64" s="31" t="s">
        <v>172</v>
      </c>
      <c r="D64" s="32" t="s">
        <v>164</v>
      </c>
      <c r="E64" s="108">
        <v>4000</v>
      </c>
      <c r="F64" s="108">
        <v>180</v>
      </c>
      <c r="G64" s="107"/>
      <c r="H64" s="23">
        <f t="shared" si="0"/>
        <v>4.4999999999999998E-2</v>
      </c>
    </row>
    <row r="65" spans="1:13">
      <c r="A65" s="20"/>
      <c r="B65" s="20"/>
      <c r="C65" s="31" t="s">
        <v>174</v>
      </c>
      <c r="D65" s="32" t="s">
        <v>13</v>
      </c>
      <c r="E65" s="108">
        <v>111000</v>
      </c>
      <c r="F65" s="108">
        <v>0</v>
      </c>
      <c r="G65" s="107"/>
      <c r="H65" s="23">
        <f t="shared" si="0"/>
        <v>0</v>
      </c>
    </row>
    <row r="66" spans="1:13" s="18" customFormat="1">
      <c r="A66" s="14"/>
      <c r="B66" s="14">
        <v>71014</v>
      </c>
      <c r="C66" s="123"/>
      <c r="D66" s="52" t="s">
        <v>293</v>
      </c>
      <c r="E66" s="16">
        <f>E67</f>
        <v>25000</v>
      </c>
      <c r="F66" s="16">
        <f>F67</f>
        <v>2484.7800000000002</v>
      </c>
      <c r="G66" s="16">
        <f>G67</f>
        <v>0</v>
      </c>
      <c r="H66" s="17">
        <f t="shared" si="0"/>
        <v>9.9391200000000013E-2</v>
      </c>
      <c r="L66" s="127"/>
      <c r="M66" s="127"/>
    </row>
    <row r="67" spans="1:13">
      <c r="A67" s="20"/>
      <c r="B67" s="20"/>
      <c r="C67" s="25">
        <v>4300</v>
      </c>
      <c r="D67" s="20" t="s">
        <v>13</v>
      </c>
      <c r="E67" s="107">
        <v>25000</v>
      </c>
      <c r="F67" s="107">
        <v>2484.7800000000002</v>
      </c>
      <c r="G67" s="107"/>
      <c r="H67" s="23">
        <f t="shared" si="0"/>
        <v>9.9391200000000013E-2</v>
      </c>
    </row>
    <row r="68" spans="1:13">
      <c r="A68" s="8">
        <v>750</v>
      </c>
      <c r="B68" s="37"/>
      <c r="C68" s="9"/>
      <c r="D68" s="10" t="s">
        <v>183</v>
      </c>
      <c r="E68" s="11">
        <f>SUM(E69+E78+E86+E111+E116)</f>
        <v>2753954</v>
      </c>
      <c r="F68" s="11">
        <f>SUM(F69+F78+F86+F111+F116)</f>
        <v>1419038.5699999998</v>
      </c>
      <c r="G68" s="11">
        <f>SUM(G69+G78+G86+G111+G116)</f>
        <v>72812.140000000014</v>
      </c>
      <c r="H68" s="29">
        <f t="shared" si="0"/>
        <v>0.51527315634175441</v>
      </c>
      <c r="I68" s="54"/>
      <c r="J68" s="54"/>
      <c r="K68" s="55"/>
    </row>
    <row r="69" spans="1:13">
      <c r="A69" s="50"/>
      <c r="B69" s="123">
        <v>75011</v>
      </c>
      <c r="C69" s="50"/>
      <c r="D69" s="52" t="s">
        <v>28</v>
      </c>
      <c r="E69" s="16">
        <f>SUM(E70:E77)</f>
        <v>87934</v>
      </c>
      <c r="F69" s="16">
        <f>SUM(F70:F77)</f>
        <v>37699.39</v>
      </c>
      <c r="G69" s="16">
        <f>SUM(G70:G77)</f>
        <v>1401.05</v>
      </c>
      <c r="H69" s="17">
        <f t="shared" si="0"/>
        <v>0.42872370186730957</v>
      </c>
    </row>
    <row r="70" spans="1:13">
      <c r="A70" s="20"/>
      <c r="B70" s="20"/>
      <c r="C70" s="25">
        <v>4010</v>
      </c>
      <c r="D70" s="32" t="s">
        <v>184</v>
      </c>
      <c r="E70" s="107">
        <v>42070</v>
      </c>
      <c r="F70" s="107">
        <v>20325</v>
      </c>
      <c r="G70" s="107">
        <v>0</v>
      </c>
      <c r="H70" s="23">
        <f t="shared" si="0"/>
        <v>0.48312336581887333</v>
      </c>
    </row>
    <row r="71" spans="1:13">
      <c r="A71" s="20"/>
      <c r="B71" s="20"/>
      <c r="C71" s="25">
        <v>4040</v>
      </c>
      <c r="D71" s="32" t="s">
        <v>185</v>
      </c>
      <c r="E71" s="107">
        <v>2360</v>
      </c>
      <c r="F71" s="107">
        <v>2360</v>
      </c>
      <c r="G71" s="107">
        <v>0</v>
      </c>
      <c r="H71" s="23">
        <f t="shared" si="0"/>
        <v>1</v>
      </c>
    </row>
    <row r="72" spans="1:13">
      <c r="A72" s="20"/>
      <c r="B72" s="20"/>
      <c r="C72" s="25">
        <v>4110</v>
      </c>
      <c r="D72" s="32" t="s">
        <v>45</v>
      </c>
      <c r="E72" s="107">
        <v>6816</v>
      </c>
      <c r="F72" s="107">
        <v>3117</v>
      </c>
      <c r="G72" s="107">
        <v>0</v>
      </c>
      <c r="H72" s="23">
        <f t="shared" si="0"/>
        <v>0.457306338028169</v>
      </c>
    </row>
    <row r="73" spans="1:13">
      <c r="A73" s="20"/>
      <c r="B73" s="20"/>
      <c r="C73" s="25">
        <v>4120</v>
      </c>
      <c r="D73" s="32" t="s">
        <v>163</v>
      </c>
      <c r="E73" s="107">
        <v>1088</v>
      </c>
      <c r="F73" s="107">
        <v>498</v>
      </c>
      <c r="G73" s="107">
        <v>0</v>
      </c>
      <c r="H73" s="23">
        <f t="shared" si="0"/>
        <v>0.4577205882352941</v>
      </c>
    </row>
    <row r="74" spans="1:13">
      <c r="A74" s="20"/>
      <c r="B74" s="20"/>
      <c r="C74" s="25">
        <v>4210</v>
      </c>
      <c r="D74" s="32" t="s">
        <v>11</v>
      </c>
      <c r="E74" s="107">
        <v>9650</v>
      </c>
      <c r="F74" s="107">
        <v>933.64</v>
      </c>
      <c r="G74" s="107">
        <v>0</v>
      </c>
      <c r="H74" s="23">
        <f t="shared" si="0"/>
        <v>9.6750259067357514E-2</v>
      </c>
    </row>
    <row r="75" spans="1:13">
      <c r="A75" s="20"/>
      <c r="B75" s="20"/>
      <c r="C75" s="25">
        <v>4300</v>
      </c>
      <c r="D75" s="32" t="s">
        <v>13</v>
      </c>
      <c r="E75" s="107">
        <v>11000</v>
      </c>
      <c r="F75" s="107">
        <v>2724.75</v>
      </c>
      <c r="G75" s="107">
        <v>1401.05</v>
      </c>
      <c r="H75" s="23">
        <f t="shared" si="0"/>
        <v>0.24770454545454546</v>
      </c>
    </row>
    <row r="76" spans="1:13" ht="25.5">
      <c r="A76" s="20"/>
      <c r="B76" s="20"/>
      <c r="C76" s="25">
        <v>4750</v>
      </c>
      <c r="D76" s="32" t="s">
        <v>186</v>
      </c>
      <c r="E76" s="107">
        <v>7000</v>
      </c>
      <c r="F76" s="107">
        <v>366</v>
      </c>
      <c r="G76" s="107">
        <v>0</v>
      </c>
      <c r="H76" s="23">
        <f t="shared" si="0"/>
        <v>5.2285714285714283E-2</v>
      </c>
    </row>
    <row r="77" spans="1:13" ht="25.5">
      <c r="A77" s="20"/>
      <c r="B77" s="20"/>
      <c r="C77" s="31" t="s">
        <v>182</v>
      </c>
      <c r="D77" s="32" t="s">
        <v>34</v>
      </c>
      <c r="E77" s="107">
        <v>7950</v>
      </c>
      <c r="F77" s="107">
        <v>7375</v>
      </c>
      <c r="G77" s="107">
        <v>0</v>
      </c>
      <c r="H77" s="23">
        <f t="shared" si="0"/>
        <v>0.92767295597484278</v>
      </c>
    </row>
    <row r="78" spans="1:13">
      <c r="A78" s="50"/>
      <c r="B78" s="123">
        <v>75022</v>
      </c>
      <c r="C78" s="50"/>
      <c r="D78" s="14" t="s">
        <v>31</v>
      </c>
      <c r="E78" s="16">
        <f>SUM(E79:E85)</f>
        <v>123500</v>
      </c>
      <c r="F78" s="16">
        <f>SUM(F79:F85)</f>
        <v>56842.87999999999</v>
      </c>
      <c r="G78" s="16">
        <f>SUM(G79:G85)</f>
        <v>93.11</v>
      </c>
      <c r="H78" s="53">
        <f t="shared" si="0"/>
        <v>0.4602662348178137</v>
      </c>
    </row>
    <row r="79" spans="1:13">
      <c r="A79" s="20"/>
      <c r="B79" s="20"/>
      <c r="C79" s="31" t="s">
        <v>191</v>
      </c>
      <c r="D79" s="32" t="s">
        <v>187</v>
      </c>
      <c r="E79" s="107">
        <v>112000</v>
      </c>
      <c r="F79" s="107">
        <v>51642</v>
      </c>
      <c r="G79" s="107">
        <v>0</v>
      </c>
      <c r="H79" s="23">
        <f t="shared" si="0"/>
        <v>0.4610892857142857</v>
      </c>
    </row>
    <row r="80" spans="1:13">
      <c r="A80" s="20"/>
      <c r="B80" s="20"/>
      <c r="C80" s="31" t="s">
        <v>173</v>
      </c>
      <c r="D80" s="32" t="s">
        <v>11</v>
      </c>
      <c r="E80" s="107">
        <v>4000</v>
      </c>
      <c r="F80" s="107">
        <v>1990.27</v>
      </c>
      <c r="G80" s="107">
        <v>0</v>
      </c>
      <c r="H80" s="23">
        <f t="shared" ref="H80:H150" si="2">F80/E80</f>
        <v>0.4975675</v>
      </c>
    </row>
    <row r="81" spans="1:13">
      <c r="A81" s="20"/>
      <c r="B81" s="20"/>
      <c r="C81" s="31" t="s">
        <v>179</v>
      </c>
      <c r="D81" s="32" t="s">
        <v>21</v>
      </c>
      <c r="E81" s="107">
        <v>1000</v>
      </c>
      <c r="F81" s="107">
        <v>0</v>
      </c>
      <c r="G81" s="107">
        <v>0</v>
      </c>
      <c r="H81" s="23">
        <f t="shared" si="2"/>
        <v>0</v>
      </c>
    </row>
    <row r="82" spans="1:13">
      <c r="A82" s="20"/>
      <c r="B82" s="20"/>
      <c r="C82" s="31" t="s">
        <v>174</v>
      </c>
      <c r="D82" s="32" t="s">
        <v>13</v>
      </c>
      <c r="E82" s="107">
        <v>1000</v>
      </c>
      <c r="F82" s="107">
        <v>500</v>
      </c>
      <c r="G82" s="107">
        <v>0</v>
      </c>
      <c r="H82" s="23">
        <f t="shared" si="2"/>
        <v>0.5</v>
      </c>
    </row>
    <row r="83" spans="1:13" ht="25.5">
      <c r="A83" s="20"/>
      <c r="B83" s="20"/>
      <c r="C83" s="31" t="s">
        <v>192</v>
      </c>
      <c r="D83" s="32" t="s">
        <v>188</v>
      </c>
      <c r="E83" s="107">
        <v>1000</v>
      </c>
      <c r="F83" s="107">
        <v>379.09</v>
      </c>
      <c r="G83" s="107">
        <v>93.11</v>
      </c>
      <c r="H83" s="23">
        <f t="shared" si="2"/>
        <v>0.37908999999999998</v>
      </c>
    </row>
    <row r="84" spans="1:13">
      <c r="A84" s="20"/>
      <c r="B84" s="20"/>
      <c r="C84" s="31" t="s">
        <v>175</v>
      </c>
      <c r="D84" s="32" t="s">
        <v>25</v>
      </c>
      <c r="E84" s="107">
        <v>1700</v>
      </c>
      <c r="F84" s="107">
        <v>931.52</v>
      </c>
      <c r="G84" s="107">
        <v>0</v>
      </c>
      <c r="H84" s="23">
        <f t="shared" si="2"/>
        <v>0.54795294117647053</v>
      </c>
    </row>
    <row r="85" spans="1:13" ht="25.5">
      <c r="A85" s="20"/>
      <c r="B85" s="20"/>
      <c r="C85" s="31" t="s">
        <v>194</v>
      </c>
      <c r="D85" s="32" t="s">
        <v>190</v>
      </c>
      <c r="E85" s="107">
        <v>2800</v>
      </c>
      <c r="F85" s="107">
        <v>1400</v>
      </c>
      <c r="G85" s="107">
        <v>0</v>
      </c>
      <c r="H85" s="23">
        <f t="shared" si="2"/>
        <v>0.5</v>
      </c>
    </row>
    <row r="86" spans="1:13">
      <c r="A86" s="50"/>
      <c r="B86" s="123">
        <v>75023</v>
      </c>
      <c r="C86" s="50"/>
      <c r="D86" s="14" t="s">
        <v>32</v>
      </c>
      <c r="E86" s="16">
        <f>SUM(E87:E110)</f>
        <v>2402520</v>
      </c>
      <c r="F86" s="16">
        <f>SUM(F87:F110)</f>
        <v>1253287.5599999998</v>
      </c>
      <c r="G86" s="16">
        <f>SUM(G87:G110)</f>
        <v>70840.960000000006</v>
      </c>
      <c r="H86" s="17">
        <f t="shared" si="2"/>
        <v>0.52165541181759145</v>
      </c>
      <c r="I86" s="56"/>
    </row>
    <row r="87" spans="1:13" s="24" customFormat="1" ht="25.5">
      <c r="A87" s="20"/>
      <c r="B87" s="34"/>
      <c r="C87" s="31" t="s">
        <v>195</v>
      </c>
      <c r="D87" s="32" t="s">
        <v>196</v>
      </c>
      <c r="E87" s="107">
        <v>7500</v>
      </c>
      <c r="F87" s="107">
        <v>740</v>
      </c>
      <c r="G87" s="107">
        <v>0</v>
      </c>
      <c r="H87" s="23">
        <f t="shared" si="2"/>
        <v>9.8666666666666666E-2</v>
      </c>
      <c r="L87" s="79"/>
      <c r="M87" s="79"/>
    </row>
    <row r="88" spans="1:13">
      <c r="A88" s="20"/>
      <c r="B88" s="20"/>
      <c r="C88" s="31" t="s">
        <v>197</v>
      </c>
      <c r="D88" s="32" t="s">
        <v>184</v>
      </c>
      <c r="E88" s="107">
        <v>1241200</v>
      </c>
      <c r="F88" s="107">
        <v>615621.54</v>
      </c>
      <c r="G88" s="107">
        <v>28179.57</v>
      </c>
      <c r="H88" s="23">
        <f t="shared" si="2"/>
        <v>0.49598899452143091</v>
      </c>
    </row>
    <row r="89" spans="1:13">
      <c r="A89" s="20"/>
      <c r="B89" s="20"/>
      <c r="C89" s="31" t="s">
        <v>198</v>
      </c>
      <c r="D89" s="32" t="s">
        <v>185</v>
      </c>
      <c r="E89" s="107">
        <v>90500</v>
      </c>
      <c r="F89" s="107">
        <v>90495.23</v>
      </c>
      <c r="G89" s="107">
        <v>0</v>
      </c>
      <c r="H89" s="23">
        <f t="shared" si="2"/>
        <v>0.99994729281767947</v>
      </c>
      <c r="K89" s="6">
        <f>E88+E89+E93</f>
        <v>1348200</v>
      </c>
      <c r="L89" s="80">
        <f>F88+F89+F93</f>
        <v>711964.22</v>
      </c>
      <c r="M89" s="80">
        <f>L89/K89</f>
        <v>0.52808501705978339</v>
      </c>
    </row>
    <row r="90" spans="1:13">
      <c r="A90" s="20"/>
      <c r="B90" s="20"/>
      <c r="C90" s="31" t="s">
        <v>170</v>
      </c>
      <c r="D90" s="32" t="s">
        <v>45</v>
      </c>
      <c r="E90" s="107">
        <v>191400</v>
      </c>
      <c r="F90" s="107">
        <v>108967.4</v>
      </c>
      <c r="G90" s="107">
        <v>12772.87</v>
      </c>
      <c r="H90" s="23">
        <f t="shared" si="2"/>
        <v>0.56931765935214207</v>
      </c>
      <c r="L90" s="80">
        <f>F91+F90</f>
        <v>126549.54</v>
      </c>
    </row>
    <row r="91" spans="1:13">
      <c r="A91" s="20"/>
      <c r="B91" s="20"/>
      <c r="C91" s="31" t="s">
        <v>171</v>
      </c>
      <c r="D91" s="32" t="s">
        <v>163</v>
      </c>
      <c r="E91" s="107">
        <v>31420</v>
      </c>
      <c r="F91" s="107">
        <v>17582.14</v>
      </c>
      <c r="G91" s="107">
        <v>2273.91</v>
      </c>
      <c r="H91" s="23">
        <f t="shared" si="2"/>
        <v>0.55958434118395928</v>
      </c>
    </row>
    <row r="92" spans="1:13" ht="25.5">
      <c r="A92" s="20"/>
      <c r="B92" s="20"/>
      <c r="C92" s="31" t="s">
        <v>199</v>
      </c>
      <c r="D92" s="32" t="s">
        <v>200</v>
      </c>
      <c r="E92" s="107">
        <v>30668</v>
      </c>
      <c r="F92" s="107">
        <v>8444</v>
      </c>
      <c r="G92" s="107">
        <v>0</v>
      </c>
      <c r="H92" s="23">
        <f t="shared" si="2"/>
        <v>0.2753358549628277</v>
      </c>
    </row>
    <row r="93" spans="1:13">
      <c r="A93" s="20"/>
      <c r="B93" s="20"/>
      <c r="C93" s="31" t="s">
        <v>172</v>
      </c>
      <c r="D93" s="32" t="s">
        <v>164</v>
      </c>
      <c r="E93" s="107">
        <v>16500</v>
      </c>
      <c r="F93" s="107">
        <v>5847.45</v>
      </c>
      <c r="G93" s="107">
        <v>72.849999999999994</v>
      </c>
      <c r="H93" s="23">
        <f t="shared" si="2"/>
        <v>0.35439090909090909</v>
      </c>
    </row>
    <row r="94" spans="1:13">
      <c r="A94" s="20"/>
      <c r="B94" s="20"/>
      <c r="C94" s="31" t="s">
        <v>173</v>
      </c>
      <c r="D94" s="32" t="s">
        <v>11</v>
      </c>
      <c r="E94" s="107">
        <v>135000</v>
      </c>
      <c r="F94" s="107">
        <v>45817.49</v>
      </c>
      <c r="G94" s="107">
        <v>6583.22</v>
      </c>
      <c r="H94" s="23">
        <f t="shared" si="2"/>
        <v>0.33938881481481481</v>
      </c>
    </row>
    <row r="95" spans="1:13">
      <c r="A95" s="20"/>
      <c r="B95" s="20"/>
      <c r="C95" s="31" t="s">
        <v>181</v>
      </c>
      <c r="D95" s="32" t="s">
        <v>24</v>
      </c>
      <c r="E95" s="107">
        <v>16500</v>
      </c>
      <c r="F95" s="107">
        <v>8681.64</v>
      </c>
      <c r="G95" s="107">
        <v>1406.81</v>
      </c>
      <c r="H95" s="23">
        <f t="shared" si="2"/>
        <v>0.52615999999999996</v>
      </c>
    </row>
    <row r="96" spans="1:13">
      <c r="A96" s="20"/>
      <c r="B96" s="20"/>
      <c r="C96" s="31" t="s">
        <v>179</v>
      </c>
      <c r="D96" s="32" t="s">
        <v>21</v>
      </c>
      <c r="E96" s="107">
        <v>90000</v>
      </c>
      <c r="F96" s="107">
        <v>244</v>
      </c>
      <c r="G96" s="107">
        <v>0</v>
      </c>
      <c r="H96" s="23">
        <f t="shared" si="2"/>
        <v>2.7111111111111112E-3</v>
      </c>
    </row>
    <row r="97" spans="1:13">
      <c r="A97" s="20"/>
      <c r="B97" s="20"/>
      <c r="C97" s="31" t="s">
        <v>201</v>
      </c>
      <c r="D97" s="32" t="s">
        <v>37</v>
      </c>
      <c r="E97" s="107">
        <v>500</v>
      </c>
      <c r="F97" s="107">
        <v>310</v>
      </c>
      <c r="G97" s="107">
        <v>0</v>
      </c>
      <c r="H97" s="23">
        <f t="shared" si="2"/>
        <v>0.62</v>
      </c>
    </row>
    <row r="98" spans="1:13">
      <c r="A98" s="20"/>
      <c r="B98" s="20"/>
      <c r="C98" s="31" t="s">
        <v>174</v>
      </c>
      <c r="D98" s="32" t="s">
        <v>13</v>
      </c>
      <c r="E98" s="107">
        <v>180000</v>
      </c>
      <c r="F98" s="107">
        <v>89698.33</v>
      </c>
      <c r="G98" s="107">
        <v>7594.5</v>
      </c>
      <c r="H98" s="23">
        <f t="shared" si="2"/>
        <v>0.49832405555555559</v>
      </c>
    </row>
    <row r="99" spans="1:13">
      <c r="A99" s="20"/>
      <c r="B99" s="20"/>
      <c r="C99" s="31" t="s">
        <v>202</v>
      </c>
      <c r="D99" s="32" t="s">
        <v>33</v>
      </c>
      <c r="E99" s="107">
        <v>5000</v>
      </c>
      <c r="F99" s="107">
        <v>1301.68</v>
      </c>
      <c r="G99" s="107">
        <v>0</v>
      </c>
      <c r="H99" s="23">
        <f t="shared" si="2"/>
        <v>0.26033600000000001</v>
      </c>
    </row>
    <row r="100" spans="1:13" ht="25.5">
      <c r="A100" s="20"/>
      <c r="B100" s="20"/>
      <c r="C100" s="31" t="s">
        <v>192</v>
      </c>
      <c r="D100" s="32" t="s">
        <v>188</v>
      </c>
      <c r="E100" s="107">
        <v>18000</v>
      </c>
      <c r="F100" s="107">
        <v>7473.3</v>
      </c>
      <c r="G100" s="107">
        <v>1120.23</v>
      </c>
      <c r="H100" s="23">
        <f t="shared" si="2"/>
        <v>0.41518333333333335</v>
      </c>
    </row>
    <row r="101" spans="1:13" ht="25.5">
      <c r="A101" s="20"/>
      <c r="B101" s="20"/>
      <c r="C101" s="31" t="s">
        <v>203</v>
      </c>
      <c r="D101" s="32" t="s">
        <v>204</v>
      </c>
      <c r="E101" s="107">
        <v>20000</v>
      </c>
      <c r="F101" s="107">
        <v>9289.4599999999991</v>
      </c>
      <c r="G101" s="107">
        <v>0</v>
      </c>
      <c r="H101" s="23">
        <f t="shared" si="2"/>
        <v>0.46447299999999997</v>
      </c>
    </row>
    <row r="102" spans="1:13">
      <c r="A102" s="20"/>
      <c r="B102" s="20"/>
      <c r="C102" s="31" t="s">
        <v>175</v>
      </c>
      <c r="D102" s="32" t="s">
        <v>25</v>
      </c>
      <c r="E102" s="107">
        <v>43000</v>
      </c>
      <c r="F102" s="107">
        <v>16708.669999999998</v>
      </c>
      <c r="G102" s="107">
        <v>39</v>
      </c>
      <c r="H102" s="23">
        <f t="shared" si="2"/>
        <v>0.38857372093023251</v>
      </c>
    </row>
    <row r="103" spans="1:13">
      <c r="A103" s="20"/>
      <c r="B103" s="20"/>
      <c r="C103" s="31" t="s">
        <v>205</v>
      </c>
      <c r="D103" s="32" t="s">
        <v>138</v>
      </c>
      <c r="E103" s="107">
        <v>2000</v>
      </c>
      <c r="F103" s="107">
        <v>552.59</v>
      </c>
      <c r="G103" s="107">
        <v>0</v>
      </c>
      <c r="H103" s="23">
        <f t="shared" si="2"/>
        <v>0.27629500000000001</v>
      </c>
    </row>
    <row r="104" spans="1:13">
      <c r="A104" s="20"/>
      <c r="B104" s="20"/>
      <c r="C104" s="31" t="s">
        <v>176</v>
      </c>
      <c r="D104" s="32" t="s">
        <v>26</v>
      </c>
      <c r="E104" s="107">
        <v>8000</v>
      </c>
      <c r="F104" s="107">
        <v>7059.86</v>
      </c>
      <c r="G104" s="107">
        <v>0</v>
      </c>
      <c r="H104" s="23">
        <f t="shared" si="2"/>
        <v>0.88248249999999995</v>
      </c>
    </row>
    <row r="105" spans="1:13" ht="25.5">
      <c r="A105" s="20"/>
      <c r="B105" s="20"/>
      <c r="C105" s="31" t="s">
        <v>206</v>
      </c>
      <c r="D105" s="32" t="s">
        <v>207</v>
      </c>
      <c r="E105" s="107">
        <v>35332</v>
      </c>
      <c r="F105" s="107">
        <v>27172</v>
      </c>
      <c r="G105" s="107">
        <v>0</v>
      </c>
      <c r="H105" s="23">
        <f t="shared" si="2"/>
        <v>0.76904788859956974</v>
      </c>
    </row>
    <row r="106" spans="1:13" ht="25.5">
      <c r="A106" s="20"/>
      <c r="B106" s="20"/>
      <c r="C106" s="31" t="s">
        <v>193</v>
      </c>
      <c r="D106" s="32" t="s">
        <v>189</v>
      </c>
      <c r="E106" s="107">
        <v>12000</v>
      </c>
      <c r="F106" s="107">
        <v>10718.8</v>
      </c>
      <c r="G106" s="107">
        <v>1099</v>
      </c>
      <c r="H106" s="23">
        <f t="shared" si="2"/>
        <v>0.89323333333333332</v>
      </c>
    </row>
    <row r="107" spans="1:13" ht="25.5">
      <c r="A107" s="20"/>
      <c r="B107" s="20"/>
      <c r="C107" s="31" t="s">
        <v>194</v>
      </c>
      <c r="D107" s="32" t="s">
        <v>190</v>
      </c>
      <c r="E107" s="107">
        <v>5000</v>
      </c>
      <c r="F107" s="107">
        <v>2010.16</v>
      </c>
      <c r="G107" s="107">
        <v>0</v>
      </c>
      <c r="H107" s="23">
        <f t="shared" si="2"/>
        <v>0.402032</v>
      </c>
    </row>
    <row r="108" spans="1:13" ht="25.5">
      <c r="A108" s="20"/>
      <c r="B108" s="20"/>
      <c r="C108" s="31" t="s">
        <v>208</v>
      </c>
      <c r="D108" s="32" t="s">
        <v>186</v>
      </c>
      <c r="E108" s="107">
        <v>38000</v>
      </c>
      <c r="F108" s="107">
        <v>19422.16</v>
      </c>
      <c r="G108" s="107">
        <v>0</v>
      </c>
      <c r="H108" s="23">
        <f t="shared" si="2"/>
        <v>0.51110947368421056</v>
      </c>
    </row>
    <row r="109" spans="1:13" ht="21" customHeight="1">
      <c r="A109" s="20"/>
      <c r="B109" s="20"/>
      <c r="C109" s="31" t="s">
        <v>180</v>
      </c>
      <c r="D109" s="32" t="s">
        <v>160</v>
      </c>
      <c r="E109" s="107">
        <v>165000</v>
      </c>
      <c r="F109" s="107">
        <v>159129.66</v>
      </c>
      <c r="G109" s="107">
        <v>0</v>
      </c>
      <c r="H109" s="23">
        <f t="shared" si="2"/>
        <v>0.96442218181818185</v>
      </c>
      <c r="K109" s="6">
        <f>E109+E110</f>
        <v>185000</v>
      </c>
      <c r="L109" s="80">
        <f>F109+F110</f>
        <v>159129.66</v>
      </c>
      <c r="M109" s="80">
        <f>L109/K109</f>
        <v>0.86016032432432432</v>
      </c>
    </row>
    <row r="110" spans="1:13" ht="25.5">
      <c r="A110" s="20"/>
      <c r="B110" s="20"/>
      <c r="C110" s="31" t="s">
        <v>182</v>
      </c>
      <c r="D110" s="32" t="s">
        <v>34</v>
      </c>
      <c r="E110" s="107">
        <v>20000</v>
      </c>
      <c r="F110" s="107">
        <v>0</v>
      </c>
      <c r="G110" s="107">
        <v>9699</v>
      </c>
      <c r="H110" s="23">
        <f t="shared" si="2"/>
        <v>0</v>
      </c>
    </row>
    <row r="111" spans="1:13" ht="25.5">
      <c r="A111" s="14"/>
      <c r="B111" s="14">
        <v>75075</v>
      </c>
      <c r="C111" s="51"/>
      <c r="D111" s="52" t="s">
        <v>209</v>
      </c>
      <c r="E111" s="16">
        <f>SUM(E112:E115)</f>
        <v>23000</v>
      </c>
      <c r="F111" s="16">
        <f>SUM(F112:F115)</f>
        <v>9897.74</v>
      </c>
      <c r="G111" s="16">
        <f>SUM(G112:G115)</f>
        <v>477.02</v>
      </c>
      <c r="H111" s="53">
        <f t="shared" si="2"/>
        <v>0.43033652173913045</v>
      </c>
    </row>
    <row r="112" spans="1:13">
      <c r="A112" s="20"/>
      <c r="B112" s="20"/>
      <c r="C112" s="31" t="s">
        <v>172</v>
      </c>
      <c r="D112" s="32" t="s">
        <v>164</v>
      </c>
      <c r="E112" s="107">
        <v>5000</v>
      </c>
      <c r="F112" s="107">
        <v>1922</v>
      </c>
      <c r="G112" s="107">
        <v>33</v>
      </c>
      <c r="H112" s="23">
        <f t="shared" si="2"/>
        <v>0.38440000000000002</v>
      </c>
    </row>
    <row r="113" spans="1:13">
      <c r="A113" s="20"/>
      <c r="B113" s="20"/>
      <c r="C113" s="31" t="s">
        <v>173</v>
      </c>
      <c r="D113" s="32" t="s">
        <v>11</v>
      </c>
      <c r="E113" s="107">
        <v>4000</v>
      </c>
      <c r="F113" s="107">
        <v>3183.64</v>
      </c>
      <c r="G113" s="107">
        <v>444.02</v>
      </c>
      <c r="H113" s="23"/>
    </row>
    <row r="114" spans="1:13">
      <c r="A114" s="20"/>
      <c r="B114" s="20"/>
      <c r="C114" s="31" t="s">
        <v>174</v>
      </c>
      <c r="D114" s="32" t="s">
        <v>13</v>
      </c>
      <c r="E114" s="107">
        <v>14000</v>
      </c>
      <c r="F114" s="107">
        <v>4792.1000000000004</v>
      </c>
      <c r="G114" s="107">
        <v>0</v>
      </c>
      <c r="H114" s="23">
        <f t="shared" si="2"/>
        <v>0.34229285714285718</v>
      </c>
    </row>
    <row r="115" spans="1:13" hidden="1">
      <c r="A115" s="20"/>
      <c r="B115" s="20"/>
      <c r="C115" s="31" t="s">
        <v>176</v>
      </c>
      <c r="D115" s="32" t="s">
        <v>26</v>
      </c>
      <c r="E115" s="108"/>
      <c r="F115" s="108"/>
      <c r="G115" s="108"/>
      <c r="H115" s="23" t="e">
        <f t="shared" si="2"/>
        <v>#DIV/0!</v>
      </c>
    </row>
    <row r="116" spans="1:13">
      <c r="A116" s="14"/>
      <c r="B116" s="123">
        <v>75095</v>
      </c>
      <c r="C116" s="57"/>
      <c r="D116" s="58" t="s">
        <v>17</v>
      </c>
      <c r="E116" s="59">
        <f>SUM(E117:E121)</f>
        <v>117000</v>
      </c>
      <c r="F116" s="59">
        <f>SUM(F117:F121)</f>
        <v>61311</v>
      </c>
      <c r="G116" s="59">
        <f>SUM(G117:G121)</f>
        <v>0</v>
      </c>
      <c r="H116" s="17">
        <f t="shared" si="2"/>
        <v>0.52402564102564098</v>
      </c>
    </row>
    <row r="117" spans="1:13" ht="51">
      <c r="A117" s="60"/>
      <c r="B117" s="61"/>
      <c r="C117" s="62" t="s">
        <v>210</v>
      </c>
      <c r="D117" s="63" t="s">
        <v>211</v>
      </c>
      <c r="E117" s="107">
        <v>12311</v>
      </c>
      <c r="F117" s="107">
        <v>10987</v>
      </c>
      <c r="G117" s="107">
        <v>0</v>
      </c>
      <c r="H117" s="64">
        <f t="shared" si="2"/>
        <v>0.89245390301356509</v>
      </c>
    </row>
    <row r="118" spans="1:13">
      <c r="A118" s="20"/>
      <c r="B118" s="25"/>
      <c r="C118" s="31" t="s">
        <v>191</v>
      </c>
      <c r="D118" s="32" t="s">
        <v>187</v>
      </c>
      <c r="E118" s="107">
        <v>89150</v>
      </c>
      <c r="F118" s="107">
        <v>44574</v>
      </c>
      <c r="G118" s="107">
        <v>0</v>
      </c>
      <c r="H118" s="64">
        <f t="shared" si="2"/>
        <v>0.49998878295008414</v>
      </c>
    </row>
    <row r="119" spans="1:13">
      <c r="A119" s="20"/>
      <c r="B119" s="25"/>
      <c r="C119" s="31" t="s">
        <v>173</v>
      </c>
      <c r="D119" s="32" t="s">
        <v>11</v>
      </c>
      <c r="E119" s="107">
        <v>500</v>
      </c>
      <c r="F119" s="107">
        <v>0</v>
      </c>
      <c r="G119" s="107">
        <v>0</v>
      </c>
      <c r="H119" s="64">
        <f t="shared" si="2"/>
        <v>0</v>
      </c>
    </row>
    <row r="120" spans="1:13">
      <c r="A120" s="20"/>
      <c r="B120" s="34"/>
      <c r="C120" s="31" t="s">
        <v>174</v>
      </c>
      <c r="D120" s="32" t="s">
        <v>13</v>
      </c>
      <c r="E120" s="107">
        <v>2650</v>
      </c>
      <c r="F120" s="107">
        <v>0</v>
      </c>
      <c r="G120" s="107">
        <v>0</v>
      </c>
      <c r="H120" s="64">
        <f t="shared" si="2"/>
        <v>0</v>
      </c>
    </row>
    <row r="121" spans="1:13">
      <c r="A121" s="20"/>
      <c r="B121" s="34"/>
      <c r="C121" s="31" t="s">
        <v>176</v>
      </c>
      <c r="D121" s="32" t="s">
        <v>26</v>
      </c>
      <c r="E121" s="107">
        <v>12389</v>
      </c>
      <c r="F121" s="107">
        <v>5750</v>
      </c>
      <c r="G121" s="107">
        <v>0</v>
      </c>
      <c r="H121" s="64">
        <f t="shared" si="2"/>
        <v>0.46412139801436758</v>
      </c>
    </row>
    <row r="122" spans="1:13" ht="38.25">
      <c r="A122" s="8">
        <v>751</v>
      </c>
      <c r="B122" s="9"/>
      <c r="C122" s="38"/>
      <c r="D122" s="10" t="s">
        <v>212</v>
      </c>
      <c r="E122" s="11">
        <f>E123+E127</f>
        <v>15936.999999999998</v>
      </c>
      <c r="F122" s="11">
        <f>F123+F127</f>
        <v>15215.519999999999</v>
      </c>
      <c r="G122" s="11">
        <f>G123+G127</f>
        <v>0</v>
      </c>
      <c r="H122" s="29">
        <f t="shared" si="2"/>
        <v>0.95472924640773049</v>
      </c>
    </row>
    <row r="123" spans="1:13" ht="25.5">
      <c r="A123" s="50"/>
      <c r="B123" s="123">
        <v>75101</v>
      </c>
      <c r="C123" s="51"/>
      <c r="D123" s="52" t="s">
        <v>213</v>
      </c>
      <c r="E123" s="16">
        <f>SUM(E124:E126)</f>
        <v>1442</v>
      </c>
      <c r="F123" s="16">
        <f>SUM(F124:F126)</f>
        <v>722</v>
      </c>
      <c r="G123" s="16"/>
      <c r="H123" s="17">
        <f t="shared" si="2"/>
        <v>0.50069348127600555</v>
      </c>
    </row>
    <row r="124" spans="1:13">
      <c r="A124" s="20"/>
      <c r="B124" s="20"/>
      <c r="C124" s="31" t="s">
        <v>197</v>
      </c>
      <c r="D124" s="32" t="s">
        <v>184</v>
      </c>
      <c r="E124" s="107">
        <v>1224.22</v>
      </c>
      <c r="F124" s="107">
        <v>612.96</v>
      </c>
      <c r="G124" s="107">
        <v>0</v>
      </c>
      <c r="H124" s="23">
        <f t="shared" si="2"/>
        <v>0.50069431964842925</v>
      </c>
    </row>
    <row r="125" spans="1:13">
      <c r="A125" s="20"/>
      <c r="B125" s="20"/>
      <c r="C125" s="31" t="s">
        <v>170</v>
      </c>
      <c r="D125" s="32" t="s">
        <v>45</v>
      </c>
      <c r="E125" s="107">
        <v>187.79</v>
      </c>
      <c r="F125" s="107">
        <v>94.02</v>
      </c>
      <c r="G125" s="107">
        <v>0</v>
      </c>
      <c r="H125" s="23">
        <f t="shared" si="2"/>
        <v>0.50066563714787793</v>
      </c>
    </row>
    <row r="126" spans="1:13">
      <c r="A126" s="20"/>
      <c r="B126" s="20"/>
      <c r="C126" s="31" t="s">
        <v>171</v>
      </c>
      <c r="D126" s="32" t="s">
        <v>163</v>
      </c>
      <c r="E126" s="107">
        <v>29.99</v>
      </c>
      <c r="F126" s="107">
        <v>15.02</v>
      </c>
      <c r="G126" s="107">
        <v>0</v>
      </c>
      <c r="H126" s="23">
        <f t="shared" si="2"/>
        <v>0.5008336112037346</v>
      </c>
    </row>
    <row r="127" spans="1:13" s="18" customFormat="1">
      <c r="A127" s="14"/>
      <c r="B127" s="123">
        <v>75113</v>
      </c>
      <c r="C127" s="39"/>
      <c r="D127" s="15" t="s">
        <v>307</v>
      </c>
      <c r="E127" s="16">
        <f>SUM(E128:E135)</f>
        <v>14494.999999999998</v>
      </c>
      <c r="F127" s="16">
        <f>SUM(F128:F135)</f>
        <v>14493.519999999999</v>
      </c>
      <c r="G127" s="16">
        <f>SUM(G128:G135)</f>
        <v>0</v>
      </c>
      <c r="H127" s="17">
        <f t="shared" si="2"/>
        <v>0.99989789582614697</v>
      </c>
      <c r="L127" s="127"/>
      <c r="M127" s="127"/>
    </row>
    <row r="128" spans="1:13">
      <c r="A128" s="20"/>
      <c r="B128" s="20"/>
      <c r="C128" s="31" t="s">
        <v>191</v>
      </c>
      <c r="D128" s="32" t="s">
        <v>187</v>
      </c>
      <c r="E128" s="107">
        <v>7060.41</v>
      </c>
      <c r="F128" s="107">
        <v>7060.41</v>
      </c>
      <c r="G128" s="107">
        <v>0</v>
      </c>
      <c r="H128" s="130">
        <f t="shared" si="2"/>
        <v>1</v>
      </c>
    </row>
    <row r="129" spans="1:13">
      <c r="A129" s="20"/>
      <c r="B129" s="20"/>
      <c r="C129" s="31" t="s">
        <v>170</v>
      </c>
      <c r="D129" s="32" t="s">
        <v>45</v>
      </c>
      <c r="E129" s="107">
        <v>347.85</v>
      </c>
      <c r="F129" s="107">
        <v>346.37</v>
      </c>
      <c r="G129" s="107">
        <v>0</v>
      </c>
      <c r="H129" s="130">
        <f t="shared" si="2"/>
        <v>0.99574529251113986</v>
      </c>
    </row>
    <row r="130" spans="1:13">
      <c r="A130" s="20"/>
      <c r="B130" s="20"/>
      <c r="C130" s="31" t="s">
        <v>171</v>
      </c>
      <c r="D130" s="32" t="s">
        <v>163</v>
      </c>
      <c r="E130" s="107">
        <v>56.11</v>
      </c>
      <c r="F130" s="107">
        <v>56.11</v>
      </c>
      <c r="G130" s="107">
        <v>0</v>
      </c>
      <c r="H130" s="130">
        <f t="shared" si="2"/>
        <v>1</v>
      </c>
    </row>
    <row r="131" spans="1:13">
      <c r="A131" s="20"/>
      <c r="B131" s="20"/>
      <c r="C131" s="31" t="s">
        <v>172</v>
      </c>
      <c r="D131" s="32" t="s">
        <v>164</v>
      </c>
      <c r="E131" s="107">
        <v>3980</v>
      </c>
      <c r="F131" s="107">
        <v>3980</v>
      </c>
      <c r="G131" s="107">
        <v>0</v>
      </c>
      <c r="H131" s="130">
        <f t="shared" si="2"/>
        <v>1</v>
      </c>
    </row>
    <row r="132" spans="1:13">
      <c r="A132" s="20"/>
      <c r="B132" s="20"/>
      <c r="C132" s="31" t="s">
        <v>173</v>
      </c>
      <c r="D132" s="32" t="s">
        <v>11</v>
      </c>
      <c r="E132" s="107">
        <v>2314.96</v>
      </c>
      <c r="F132" s="107">
        <v>2314.96</v>
      </c>
      <c r="G132" s="107">
        <v>0</v>
      </c>
      <c r="H132" s="130">
        <f t="shared" si="2"/>
        <v>1</v>
      </c>
    </row>
    <row r="133" spans="1:13" ht="25.5">
      <c r="A133" s="20"/>
      <c r="B133" s="20"/>
      <c r="C133" s="31" t="s">
        <v>192</v>
      </c>
      <c r="D133" s="32" t="s">
        <v>188</v>
      </c>
      <c r="E133" s="107">
        <v>59</v>
      </c>
      <c r="F133" s="107">
        <v>59</v>
      </c>
      <c r="G133" s="107">
        <v>0</v>
      </c>
      <c r="H133" s="130">
        <f t="shared" si="2"/>
        <v>1</v>
      </c>
    </row>
    <row r="134" spans="1:13">
      <c r="A134" s="20"/>
      <c r="B134" s="20"/>
      <c r="C134" s="31" t="s">
        <v>175</v>
      </c>
      <c r="D134" s="32" t="s">
        <v>25</v>
      </c>
      <c r="E134" s="107">
        <v>556.26</v>
      </c>
      <c r="F134" s="107">
        <v>556.26</v>
      </c>
      <c r="G134" s="107">
        <v>0</v>
      </c>
      <c r="H134" s="130">
        <f t="shared" si="2"/>
        <v>1</v>
      </c>
    </row>
    <row r="135" spans="1:13" ht="25.5">
      <c r="A135" s="20"/>
      <c r="B135" s="20"/>
      <c r="C135" s="31" t="s">
        <v>194</v>
      </c>
      <c r="D135" s="32" t="s">
        <v>190</v>
      </c>
      <c r="E135" s="107">
        <v>120.41</v>
      </c>
      <c r="F135" s="107">
        <v>120.41</v>
      </c>
      <c r="G135" s="107">
        <v>0</v>
      </c>
      <c r="H135" s="130">
        <f t="shared" si="2"/>
        <v>1</v>
      </c>
    </row>
    <row r="136" spans="1:13" hidden="1">
      <c r="A136" s="8">
        <v>752</v>
      </c>
      <c r="B136" s="9"/>
      <c r="C136" s="38"/>
      <c r="D136" s="10" t="s">
        <v>214</v>
      </c>
      <c r="E136" s="11">
        <f>E137</f>
        <v>0</v>
      </c>
      <c r="F136" s="11">
        <f>F137</f>
        <v>0</v>
      </c>
      <c r="G136" s="11">
        <f>G137</f>
        <v>0</v>
      </c>
      <c r="H136" s="29" t="e">
        <f t="shared" si="2"/>
        <v>#DIV/0!</v>
      </c>
    </row>
    <row r="137" spans="1:13" hidden="1">
      <c r="A137" s="50"/>
      <c r="B137" s="123">
        <v>75212</v>
      </c>
      <c r="C137" s="51"/>
      <c r="D137" s="52" t="s">
        <v>35</v>
      </c>
      <c r="E137" s="16">
        <f>SUM(E138:E138)</f>
        <v>0</v>
      </c>
      <c r="F137" s="16">
        <f>SUM(F138:F138)</f>
        <v>0</v>
      </c>
      <c r="G137" s="16">
        <f>SUM(G138:G138)</f>
        <v>0</v>
      </c>
      <c r="H137" s="53" t="e">
        <f t="shared" si="2"/>
        <v>#DIV/0!</v>
      </c>
    </row>
    <row r="138" spans="1:13" hidden="1">
      <c r="A138" s="20"/>
      <c r="B138" s="34"/>
      <c r="C138" s="31" t="s">
        <v>173</v>
      </c>
      <c r="D138" s="32" t="s">
        <v>11</v>
      </c>
      <c r="E138" s="107"/>
      <c r="F138" s="107"/>
      <c r="G138" s="107"/>
      <c r="H138" s="23" t="e">
        <f t="shared" si="2"/>
        <v>#DIV/0!</v>
      </c>
    </row>
    <row r="139" spans="1:13" ht="25.5">
      <c r="A139" s="8">
        <v>754</v>
      </c>
      <c r="B139" s="9"/>
      <c r="C139" s="38"/>
      <c r="D139" s="10" t="s">
        <v>215</v>
      </c>
      <c r="E139" s="11">
        <f>SUM(E140+E143+E156)</f>
        <v>243134.5</v>
      </c>
      <c r="F139" s="11">
        <f>SUM(F140+F143+F156)</f>
        <v>67275.44</v>
      </c>
      <c r="G139" s="11">
        <f>SUM(G140+G143+G156)</f>
        <v>1589.42</v>
      </c>
      <c r="H139" s="29">
        <f t="shared" si="2"/>
        <v>0.27670050938883622</v>
      </c>
    </row>
    <row r="140" spans="1:13" s="18" customFormat="1">
      <c r="A140" s="13"/>
      <c r="B140" s="123">
        <v>75404</v>
      </c>
      <c r="C140" s="39"/>
      <c r="D140" s="15" t="s">
        <v>216</v>
      </c>
      <c r="E140" s="16">
        <f>SUM(E141:E142)</f>
        <v>30000</v>
      </c>
      <c r="F140" s="16">
        <f>SUM(F141:F142)</f>
        <v>2080</v>
      </c>
      <c r="G140" s="16">
        <f>SUM(G141:G142)</f>
        <v>0</v>
      </c>
      <c r="H140" s="17">
        <f t="shared" si="2"/>
        <v>6.933333333333333E-2</v>
      </c>
      <c r="L140" s="127"/>
      <c r="M140" s="127"/>
    </row>
    <row r="141" spans="1:13">
      <c r="A141" s="131"/>
      <c r="B141" s="132"/>
      <c r="C141" s="133" t="s">
        <v>308</v>
      </c>
      <c r="D141" s="42" t="s">
        <v>309</v>
      </c>
      <c r="E141" s="107">
        <v>10000</v>
      </c>
      <c r="F141" s="107">
        <v>2080</v>
      </c>
      <c r="G141" s="107">
        <v>0</v>
      </c>
      <c r="H141" s="23">
        <f t="shared" si="2"/>
        <v>0.20799999999999999</v>
      </c>
    </row>
    <row r="142" spans="1:13" ht="25.5">
      <c r="A142" s="43"/>
      <c r="B142" s="20"/>
      <c r="C142" s="31" t="s">
        <v>182</v>
      </c>
      <c r="D142" s="32" t="s">
        <v>34</v>
      </c>
      <c r="E142" s="107">
        <v>20000</v>
      </c>
      <c r="F142" s="107">
        <v>0</v>
      </c>
      <c r="G142" s="107">
        <v>0</v>
      </c>
      <c r="H142" s="23">
        <f t="shared" si="2"/>
        <v>0</v>
      </c>
    </row>
    <row r="143" spans="1:13" s="68" customFormat="1" ht="12.75" customHeight="1">
      <c r="A143" s="65"/>
      <c r="B143" s="66">
        <v>75412</v>
      </c>
      <c r="C143" s="39"/>
      <c r="D143" s="15" t="s">
        <v>36</v>
      </c>
      <c r="E143" s="59">
        <f>SUM(E144:E155)</f>
        <v>212134.5</v>
      </c>
      <c r="F143" s="59">
        <f>SUM(F144:F155)</f>
        <v>65096.44</v>
      </c>
      <c r="G143" s="59">
        <f>SUM(G144:G155)</f>
        <v>1589.42</v>
      </c>
      <c r="H143" s="17">
        <f t="shared" si="2"/>
        <v>0.3068639943054996</v>
      </c>
      <c r="I143" s="67"/>
      <c r="L143" s="134"/>
      <c r="M143" s="134"/>
    </row>
    <row r="144" spans="1:13" ht="25.5">
      <c r="A144" s="43"/>
      <c r="B144" s="34"/>
      <c r="C144" s="31" t="s">
        <v>195</v>
      </c>
      <c r="D144" s="32" t="s">
        <v>196</v>
      </c>
      <c r="E144" s="107">
        <v>23100</v>
      </c>
      <c r="F144" s="107">
        <v>5807</v>
      </c>
      <c r="G144" s="107">
        <v>0</v>
      </c>
      <c r="H144" s="23">
        <f t="shared" si="2"/>
        <v>0.25138528138528138</v>
      </c>
      <c r="I144" s="56"/>
    </row>
    <row r="145" spans="1:13">
      <c r="A145" s="43"/>
      <c r="B145" s="34"/>
      <c r="C145" s="31" t="s">
        <v>170</v>
      </c>
      <c r="D145" s="32" t="s">
        <v>45</v>
      </c>
      <c r="E145" s="107">
        <v>740</v>
      </c>
      <c r="F145" s="107">
        <v>305.42</v>
      </c>
      <c r="G145" s="107">
        <v>50.57</v>
      </c>
      <c r="H145" s="23">
        <f t="shared" si="2"/>
        <v>0.41272972972972977</v>
      </c>
    </row>
    <row r="146" spans="1:13">
      <c r="A146" s="43"/>
      <c r="B146" s="34"/>
      <c r="C146" s="31" t="s">
        <v>171</v>
      </c>
      <c r="D146" s="32" t="s">
        <v>163</v>
      </c>
      <c r="E146" s="107">
        <v>110</v>
      </c>
      <c r="F146" s="107">
        <v>48.96</v>
      </c>
      <c r="G146" s="107">
        <v>8.16</v>
      </c>
      <c r="H146" s="23">
        <f t="shared" si="2"/>
        <v>0.44509090909090909</v>
      </c>
    </row>
    <row r="147" spans="1:13">
      <c r="A147" s="43"/>
      <c r="B147" s="34"/>
      <c r="C147" s="31" t="s">
        <v>172</v>
      </c>
      <c r="D147" s="32" t="s">
        <v>164</v>
      </c>
      <c r="E147" s="107">
        <v>29700</v>
      </c>
      <c r="F147" s="107">
        <v>16619.64</v>
      </c>
      <c r="G147" s="107">
        <v>527.20000000000005</v>
      </c>
      <c r="H147" s="23">
        <f t="shared" si="2"/>
        <v>0.55958383838383841</v>
      </c>
    </row>
    <row r="148" spans="1:13" s="24" customFormat="1">
      <c r="A148" s="43"/>
      <c r="B148" s="34"/>
      <c r="C148" s="31" t="s">
        <v>173</v>
      </c>
      <c r="D148" s="32" t="s">
        <v>11</v>
      </c>
      <c r="E148" s="107">
        <v>75784.5</v>
      </c>
      <c r="F148" s="107">
        <v>22625.41</v>
      </c>
      <c r="G148" s="107">
        <v>368.25</v>
      </c>
      <c r="H148" s="23">
        <f t="shared" si="2"/>
        <v>0.29854930757608744</v>
      </c>
      <c r="L148" s="79"/>
      <c r="M148" s="79"/>
    </row>
    <row r="149" spans="1:13">
      <c r="A149" s="43"/>
      <c r="B149" s="34"/>
      <c r="C149" s="31" t="s">
        <v>181</v>
      </c>
      <c r="D149" s="32" t="s">
        <v>24</v>
      </c>
      <c r="E149" s="107">
        <v>11300</v>
      </c>
      <c r="F149" s="107">
        <v>5876.28</v>
      </c>
      <c r="G149" s="107">
        <v>635.24</v>
      </c>
      <c r="H149" s="23">
        <f t="shared" si="2"/>
        <v>0.5200247787610619</v>
      </c>
    </row>
    <row r="150" spans="1:13">
      <c r="A150" s="43"/>
      <c r="B150" s="34"/>
      <c r="C150" s="31" t="s">
        <v>179</v>
      </c>
      <c r="D150" s="32" t="s">
        <v>21</v>
      </c>
      <c r="E150" s="107">
        <v>5200</v>
      </c>
      <c r="F150" s="107">
        <v>2034.96</v>
      </c>
      <c r="G150" s="107">
        <v>0</v>
      </c>
      <c r="H150" s="23">
        <f t="shared" si="2"/>
        <v>0.39133846153846152</v>
      </c>
    </row>
    <row r="151" spans="1:13" s="24" customFormat="1">
      <c r="A151" s="43"/>
      <c r="B151" s="34"/>
      <c r="C151" s="31" t="s">
        <v>201</v>
      </c>
      <c r="D151" s="32" t="s">
        <v>37</v>
      </c>
      <c r="E151" s="107">
        <v>4200</v>
      </c>
      <c r="F151" s="107">
        <v>0</v>
      </c>
      <c r="G151" s="107">
        <v>0</v>
      </c>
      <c r="H151" s="23">
        <f t="shared" ref="H151:H231" si="3">F151/E151</f>
        <v>0</v>
      </c>
      <c r="L151" s="79"/>
      <c r="M151" s="79"/>
    </row>
    <row r="152" spans="1:13" s="24" customFormat="1">
      <c r="A152" s="43"/>
      <c r="B152" s="34"/>
      <c r="C152" s="31" t="s">
        <v>174</v>
      </c>
      <c r="D152" s="32" t="s">
        <v>13</v>
      </c>
      <c r="E152" s="107">
        <v>6600</v>
      </c>
      <c r="F152" s="107">
        <v>3458.4</v>
      </c>
      <c r="G152" s="107">
        <v>0</v>
      </c>
      <c r="H152" s="23">
        <f t="shared" si="3"/>
        <v>0.52400000000000002</v>
      </c>
      <c r="L152" s="79"/>
      <c r="M152" s="79"/>
    </row>
    <row r="153" spans="1:13" s="24" customFormat="1">
      <c r="A153" s="43"/>
      <c r="B153" s="34"/>
      <c r="C153" s="31" t="s">
        <v>175</v>
      </c>
      <c r="D153" s="32" t="s">
        <v>25</v>
      </c>
      <c r="E153" s="107">
        <v>1000</v>
      </c>
      <c r="F153" s="107">
        <v>125.37</v>
      </c>
      <c r="G153" s="107">
        <v>0</v>
      </c>
      <c r="H153" s="23">
        <f t="shared" si="3"/>
        <v>0.12537000000000001</v>
      </c>
      <c r="L153" s="79"/>
      <c r="M153" s="79"/>
    </row>
    <row r="154" spans="1:13" s="24" customFormat="1">
      <c r="A154" s="43"/>
      <c r="B154" s="34"/>
      <c r="C154" s="31" t="s">
        <v>176</v>
      </c>
      <c r="D154" s="32" t="s">
        <v>26</v>
      </c>
      <c r="E154" s="107">
        <v>9400</v>
      </c>
      <c r="F154" s="107">
        <v>8195</v>
      </c>
      <c r="G154" s="107">
        <v>0</v>
      </c>
      <c r="H154" s="23">
        <f t="shared" si="3"/>
        <v>0.8718085106382979</v>
      </c>
      <c r="L154" s="79"/>
      <c r="M154" s="79"/>
    </row>
    <row r="155" spans="1:13" ht="25.5">
      <c r="A155" s="43"/>
      <c r="B155" s="34"/>
      <c r="C155" s="31" t="s">
        <v>182</v>
      </c>
      <c r="D155" s="32" t="s">
        <v>34</v>
      </c>
      <c r="E155" s="107">
        <v>45000</v>
      </c>
      <c r="F155" s="107">
        <v>0</v>
      </c>
      <c r="G155" s="107">
        <v>0</v>
      </c>
      <c r="H155" s="23">
        <f t="shared" si="3"/>
        <v>0</v>
      </c>
    </row>
    <row r="156" spans="1:13">
      <c r="A156" s="14"/>
      <c r="B156" s="123">
        <v>75414</v>
      </c>
      <c r="C156" s="14"/>
      <c r="D156" s="69" t="s">
        <v>38</v>
      </c>
      <c r="E156" s="16">
        <f>SUM(E157:E157)</f>
        <v>1000</v>
      </c>
      <c r="F156" s="16">
        <f>SUM(F157:F157)</f>
        <v>99</v>
      </c>
      <c r="G156" s="16">
        <f>SUM(G157:G157)</f>
        <v>0</v>
      </c>
      <c r="H156" s="17">
        <f t="shared" si="3"/>
        <v>9.9000000000000005E-2</v>
      </c>
    </row>
    <row r="157" spans="1:13">
      <c r="A157" s="20"/>
      <c r="B157" s="20"/>
      <c r="C157" s="25">
        <v>4210</v>
      </c>
      <c r="D157" s="20" t="s">
        <v>13</v>
      </c>
      <c r="E157" s="107">
        <v>1000</v>
      </c>
      <c r="F157" s="107">
        <v>99</v>
      </c>
      <c r="G157" s="107">
        <v>0</v>
      </c>
      <c r="H157" s="23">
        <f t="shared" si="3"/>
        <v>9.9000000000000005E-2</v>
      </c>
    </row>
    <row r="158" spans="1:13" ht="51">
      <c r="A158" s="124">
        <v>756</v>
      </c>
      <c r="B158" s="9"/>
      <c r="C158" s="70"/>
      <c r="D158" s="10" t="s">
        <v>217</v>
      </c>
      <c r="E158" s="71">
        <f>SUM(E159)</f>
        <v>80500</v>
      </c>
      <c r="F158" s="71">
        <f>SUM(F159)</f>
        <v>30718.02</v>
      </c>
      <c r="G158" s="71">
        <f>SUM(G159)</f>
        <v>275</v>
      </c>
      <c r="H158" s="29">
        <f t="shared" si="3"/>
        <v>0.38159031055900622</v>
      </c>
    </row>
    <row r="159" spans="1:13" ht="25.5">
      <c r="A159" s="123"/>
      <c r="B159" s="123">
        <v>75647</v>
      </c>
      <c r="C159" s="123"/>
      <c r="D159" s="15" t="s">
        <v>218</v>
      </c>
      <c r="E159" s="72">
        <f>SUM(E160:E169)</f>
        <v>80500</v>
      </c>
      <c r="F159" s="72">
        <f>SUM(F160:F169)</f>
        <v>30718.02</v>
      </c>
      <c r="G159" s="72">
        <f>SUM(G160:G169)</f>
        <v>275</v>
      </c>
      <c r="H159" s="17">
        <f t="shared" si="3"/>
        <v>0.38159031055900622</v>
      </c>
    </row>
    <row r="160" spans="1:13" s="24" customFormat="1" ht="12.75" customHeight="1">
      <c r="A160" s="34"/>
      <c r="B160" s="34"/>
      <c r="C160" s="31" t="s">
        <v>219</v>
      </c>
      <c r="D160" s="32" t="s">
        <v>220</v>
      </c>
      <c r="E160" s="107">
        <v>40400</v>
      </c>
      <c r="F160" s="107">
        <v>21868</v>
      </c>
      <c r="G160" s="107">
        <v>0</v>
      </c>
      <c r="H160" s="23">
        <f t="shared" si="3"/>
        <v>0.54128712871287132</v>
      </c>
      <c r="L160" s="79"/>
      <c r="M160" s="79"/>
    </row>
    <row r="161" spans="1:13" s="24" customFormat="1" ht="12.75" customHeight="1">
      <c r="A161" s="34"/>
      <c r="B161" s="34"/>
      <c r="C161" s="31" t="s">
        <v>170</v>
      </c>
      <c r="D161" s="32" t="s">
        <v>45</v>
      </c>
      <c r="E161" s="107">
        <v>1100</v>
      </c>
      <c r="F161" s="107">
        <v>0</v>
      </c>
      <c r="G161" s="107">
        <v>0</v>
      </c>
      <c r="H161" s="23">
        <f t="shared" si="3"/>
        <v>0</v>
      </c>
      <c r="L161" s="79"/>
      <c r="M161" s="79"/>
    </row>
    <row r="162" spans="1:13" s="24" customFormat="1" ht="12.75" customHeight="1">
      <c r="A162" s="34"/>
      <c r="B162" s="34"/>
      <c r="C162" s="31" t="s">
        <v>171</v>
      </c>
      <c r="D162" s="32" t="s">
        <v>163</v>
      </c>
      <c r="E162" s="107">
        <v>300</v>
      </c>
      <c r="F162" s="107">
        <v>0</v>
      </c>
      <c r="G162" s="107">
        <v>0</v>
      </c>
      <c r="H162" s="23">
        <f t="shared" si="3"/>
        <v>0</v>
      </c>
      <c r="L162" s="79"/>
      <c r="M162" s="79"/>
    </row>
    <row r="163" spans="1:13">
      <c r="A163" s="20"/>
      <c r="B163" s="20"/>
      <c r="C163" s="31" t="s">
        <v>172</v>
      </c>
      <c r="D163" s="32" t="s">
        <v>164</v>
      </c>
      <c r="E163" s="107">
        <v>8000</v>
      </c>
      <c r="F163" s="107">
        <v>0</v>
      </c>
      <c r="G163" s="107">
        <v>0</v>
      </c>
      <c r="H163" s="23">
        <f t="shared" si="3"/>
        <v>0</v>
      </c>
    </row>
    <row r="164" spans="1:13">
      <c r="A164" s="20"/>
      <c r="B164" s="20"/>
      <c r="C164" s="31" t="s">
        <v>173</v>
      </c>
      <c r="D164" s="32" t="s">
        <v>11</v>
      </c>
      <c r="E164" s="107">
        <v>3200</v>
      </c>
      <c r="F164" s="107">
        <v>1517.84</v>
      </c>
      <c r="G164" s="107">
        <v>0</v>
      </c>
      <c r="H164" s="23">
        <f t="shared" si="3"/>
        <v>0.474325</v>
      </c>
    </row>
    <row r="165" spans="1:13">
      <c r="A165" s="20"/>
      <c r="B165" s="20"/>
      <c r="C165" s="31" t="s">
        <v>174</v>
      </c>
      <c r="D165" s="32" t="s">
        <v>13</v>
      </c>
      <c r="E165" s="107">
        <v>6000</v>
      </c>
      <c r="F165" s="107">
        <v>3006.1</v>
      </c>
      <c r="G165" s="107">
        <v>0</v>
      </c>
      <c r="H165" s="23">
        <f t="shared" si="3"/>
        <v>0.50101666666666667</v>
      </c>
    </row>
    <row r="166" spans="1:13">
      <c r="A166" s="20"/>
      <c r="B166" s="20"/>
      <c r="C166" s="31" t="s">
        <v>175</v>
      </c>
      <c r="D166" s="32" t="s">
        <v>25</v>
      </c>
      <c r="E166" s="107">
        <v>2500</v>
      </c>
      <c r="F166" s="107">
        <v>159.36000000000001</v>
      </c>
      <c r="G166" s="107">
        <v>0</v>
      </c>
      <c r="H166" s="23">
        <f t="shared" si="3"/>
        <v>6.3744000000000009E-2</v>
      </c>
    </row>
    <row r="167" spans="1:13" ht="25.5">
      <c r="A167" s="20"/>
      <c r="B167" s="20"/>
      <c r="C167" s="31" t="s">
        <v>221</v>
      </c>
      <c r="D167" s="32" t="s">
        <v>222</v>
      </c>
      <c r="E167" s="107">
        <v>14000</v>
      </c>
      <c r="F167" s="107">
        <v>2409.1999999999998</v>
      </c>
      <c r="G167" s="107">
        <v>0</v>
      </c>
      <c r="H167" s="23">
        <f t="shared" si="3"/>
        <v>0.17208571428571429</v>
      </c>
    </row>
    <row r="168" spans="1:13" ht="25.5">
      <c r="A168" s="20"/>
      <c r="B168" s="20"/>
      <c r="C168" s="31" t="s">
        <v>193</v>
      </c>
      <c r="D168" s="32" t="s">
        <v>189</v>
      </c>
      <c r="E168" s="107">
        <v>2000</v>
      </c>
      <c r="F168" s="107">
        <v>644</v>
      </c>
      <c r="G168" s="107">
        <v>275</v>
      </c>
      <c r="H168" s="23">
        <f t="shared" si="3"/>
        <v>0.32200000000000001</v>
      </c>
    </row>
    <row r="169" spans="1:13" ht="25.5">
      <c r="A169" s="20"/>
      <c r="B169" s="20"/>
      <c r="C169" s="31" t="s">
        <v>194</v>
      </c>
      <c r="D169" s="32" t="s">
        <v>190</v>
      </c>
      <c r="E169" s="107">
        <v>3000</v>
      </c>
      <c r="F169" s="107">
        <v>1113.52</v>
      </c>
      <c r="G169" s="107">
        <v>0</v>
      </c>
      <c r="H169" s="23">
        <f t="shared" si="3"/>
        <v>0.3711733333333333</v>
      </c>
    </row>
    <row r="170" spans="1:13">
      <c r="A170" s="73">
        <v>757</v>
      </c>
      <c r="B170" s="74"/>
      <c r="C170" s="74"/>
      <c r="D170" s="75" t="s">
        <v>39</v>
      </c>
      <c r="E170" s="76">
        <f>SUM(E171)</f>
        <v>130000</v>
      </c>
      <c r="F170" s="76">
        <f>SUM(F171)</f>
        <v>46484.68</v>
      </c>
      <c r="G170" s="76">
        <f>SUM(G171)</f>
        <v>0</v>
      </c>
      <c r="H170" s="77">
        <f t="shared" si="3"/>
        <v>0.35757446153846156</v>
      </c>
    </row>
    <row r="171" spans="1:13" ht="25.5" customHeight="1">
      <c r="A171" s="14"/>
      <c r="B171" s="123">
        <v>75702</v>
      </c>
      <c r="C171" s="14"/>
      <c r="D171" s="15" t="s">
        <v>223</v>
      </c>
      <c r="E171" s="16">
        <f>SUM(E172)</f>
        <v>130000</v>
      </c>
      <c r="F171" s="16">
        <f>SUM(F172)</f>
        <v>46484.68</v>
      </c>
      <c r="G171" s="16"/>
      <c r="H171" s="17">
        <f t="shared" si="3"/>
        <v>0.35757446153846156</v>
      </c>
    </row>
    <row r="172" spans="1:13" ht="51">
      <c r="A172" s="20"/>
      <c r="B172" s="20"/>
      <c r="C172" s="25">
        <v>8070</v>
      </c>
      <c r="D172" s="32" t="s">
        <v>224</v>
      </c>
      <c r="E172" s="107">
        <v>130000</v>
      </c>
      <c r="F172" s="107">
        <v>46484.68</v>
      </c>
      <c r="G172" s="107"/>
      <c r="H172" s="23">
        <f t="shared" si="3"/>
        <v>0.35757446153846156</v>
      </c>
    </row>
    <row r="173" spans="1:13">
      <c r="A173" s="8">
        <v>758</v>
      </c>
      <c r="B173" s="124"/>
      <c r="C173" s="9"/>
      <c r="D173" s="10" t="s">
        <v>225</v>
      </c>
      <c r="E173" s="11">
        <f t="shared" ref="E173:G174" si="4">E174</f>
        <v>207201.55</v>
      </c>
      <c r="F173" s="11">
        <f t="shared" si="4"/>
        <v>0</v>
      </c>
      <c r="G173" s="11">
        <f t="shared" si="4"/>
        <v>0</v>
      </c>
      <c r="H173" s="29">
        <f t="shared" si="3"/>
        <v>0</v>
      </c>
    </row>
    <row r="174" spans="1:13">
      <c r="A174" s="14"/>
      <c r="B174" s="123">
        <v>75818</v>
      </c>
      <c r="C174" s="14"/>
      <c r="D174" s="14" t="s">
        <v>41</v>
      </c>
      <c r="E174" s="16">
        <f t="shared" si="4"/>
        <v>207201.55</v>
      </c>
      <c r="F174" s="16">
        <f t="shared" si="4"/>
        <v>0</v>
      </c>
      <c r="G174" s="16">
        <f t="shared" si="4"/>
        <v>0</v>
      </c>
      <c r="H174" s="17">
        <f t="shared" si="3"/>
        <v>0</v>
      </c>
    </row>
    <row r="175" spans="1:13">
      <c r="A175" s="20"/>
      <c r="B175" s="20"/>
      <c r="C175" s="25">
        <v>4810</v>
      </c>
      <c r="D175" s="20" t="s">
        <v>42</v>
      </c>
      <c r="E175" s="107">
        <v>207201.55</v>
      </c>
      <c r="F175" s="107">
        <v>0</v>
      </c>
      <c r="G175" s="107">
        <v>0</v>
      </c>
      <c r="H175" s="23">
        <f t="shared" si="3"/>
        <v>0</v>
      </c>
    </row>
    <row r="176" spans="1:13" ht="18" customHeight="1">
      <c r="A176" s="8">
        <v>801</v>
      </c>
      <c r="B176" s="9"/>
      <c r="C176" s="70"/>
      <c r="D176" s="10" t="s">
        <v>226</v>
      </c>
      <c r="E176" s="11">
        <f>SUM(E177+E201+E212+E237+E260+E275+E292+E278)</f>
        <v>9650188</v>
      </c>
      <c r="F176" s="11">
        <f>SUM(F177+F201+F212+F237+F260+F275+F292+F278)</f>
        <v>4200337.6099999994</v>
      </c>
      <c r="G176" s="11">
        <f>SUM(G177+G201+G212+G237+G260+G275+G292+G278)</f>
        <v>206630.00999999998</v>
      </c>
      <c r="H176" s="29">
        <f t="shared" si="3"/>
        <v>0.43525966644380393</v>
      </c>
    </row>
    <row r="177" spans="1:12">
      <c r="A177" s="13"/>
      <c r="B177" s="14">
        <v>80101</v>
      </c>
      <c r="C177" s="39"/>
      <c r="D177" s="15" t="s">
        <v>44</v>
      </c>
      <c r="E177" s="16">
        <f>SUM(E178:E200)</f>
        <v>4605200</v>
      </c>
      <c r="F177" s="16">
        <f>SUM(F178:F200)</f>
        <v>2270745.3699999996</v>
      </c>
      <c r="G177" s="16">
        <f>SUM(G178:G200)</f>
        <v>115677.05</v>
      </c>
      <c r="H177" s="17">
        <f t="shared" si="3"/>
        <v>0.49308289976548242</v>
      </c>
      <c r="I177" s="56"/>
      <c r="L177" s="80">
        <f>F176+F420</f>
        <v>4290659.709999999</v>
      </c>
    </row>
    <row r="178" spans="1:12" ht="25.5">
      <c r="A178" s="43"/>
      <c r="B178" s="45"/>
      <c r="C178" s="31" t="s">
        <v>195</v>
      </c>
      <c r="D178" s="32" t="s">
        <v>196</v>
      </c>
      <c r="E178" s="107">
        <v>206700</v>
      </c>
      <c r="F178" s="107">
        <v>110076.02</v>
      </c>
      <c r="G178" s="107">
        <v>5725.98</v>
      </c>
      <c r="H178" s="23">
        <f t="shared" si="3"/>
        <v>0.53254000967585879</v>
      </c>
      <c r="L178" s="129">
        <f>L177/F500</f>
        <v>0.42727876476477739</v>
      </c>
    </row>
    <row r="179" spans="1:12">
      <c r="A179" s="43"/>
      <c r="B179" s="20"/>
      <c r="C179" s="31" t="s">
        <v>197</v>
      </c>
      <c r="D179" s="32" t="s">
        <v>184</v>
      </c>
      <c r="E179" s="107">
        <v>2767224</v>
      </c>
      <c r="F179" s="107">
        <v>1309007.6499999999</v>
      </c>
      <c r="G179" s="107">
        <v>64818.75</v>
      </c>
      <c r="H179" s="23">
        <f t="shared" si="3"/>
        <v>0.47304000326681178</v>
      </c>
    </row>
    <row r="180" spans="1:12">
      <c r="A180" s="43"/>
      <c r="B180" s="20"/>
      <c r="C180" s="31" t="s">
        <v>198</v>
      </c>
      <c r="D180" s="32" t="s">
        <v>185</v>
      </c>
      <c r="E180" s="107">
        <v>195901</v>
      </c>
      <c r="F180" s="107">
        <v>195889.36</v>
      </c>
      <c r="G180" s="107">
        <v>0</v>
      </c>
      <c r="H180" s="23">
        <f t="shared" si="3"/>
        <v>0.99994058223286242</v>
      </c>
    </row>
    <row r="181" spans="1:12">
      <c r="A181" s="43"/>
      <c r="B181" s="20"/>
      <c r="C181" s="31" t="s">
        <v>170</v>
      </c>
      <c r="D181" s="32" t="s">
        <v>45</v>
      </c>
      <c r="E181" s="107">
        <v>468500</v>
      </c>
      <c r="F181" s="107">
        <v>241457</v>
      </c>
      <c r="G181" s="107">
        <v>30493.83</v>
      </c>
      <c r="H181" s="23">
        <f t="shared" si="3"/>
        <v>0.51538313767342581</v>
      </c>
    </row>
    <row r="182" spans="1:12">
      <c r="A182" s="43"/>
      <c r="B182" s="20"/>
      <c r="C182" s="31" t="s">
        <v>171</v>
      </c>
      <c r="D182" s="32" t="s">
        <v>163</v>
      </c>
      <c r="E182" s="107">
        <v>75320</v>
      </c>
      <c r="F182" s="107">
        <v>38483.949999999997</v>
      </c>
      <c r="G182" s="107">
        <v>5528.06</v>
      </c>
      <c r="H182" s="23">
        <f t="shared" si="3"/>
        <v>0.51093932554434407</v>
      </c>
      <c r="L182" s="80">
        <f>F179+F180+F181+F182+F184</f>
        <v>1790735.6299999997</v>
      </c>
    </row>
    <row r="183" spans="1:12" ht="25.5">
      <c r="A183" s="43"/>
      <c r="B183" s="20"/>
      <c r="C183" s="31" t="s">
        <v>199</v>
      </c>
      <c r="D183" s="32" t="s">
        <v>200</v>
      </c>
      <c r="E183" s="107">
        <v>7090</v>
      </c>
      <c r="F183" s="107">
        <v>3532</v>
      </c>
      <c r="G183" s="107">
        <v>0</v>
      </c>
      <c r="H183" s="23">
        <f t="shared" si="3"/>
        <v>0.49816643159379409</v>
      </c>
      <c r="L183" s="129">
        <f>F178/F177</f>
        <v>4.847572143238589E-2</v>
      </c>
    </row>
    <row r="184" spans="1:12">
      <c r="A184" s="43"/>
      <c r="B184" s="20"/>
      <c r="C184" s="31" t="s">
        <v>172</v>
      </c>
      <c r="D184" s="32" t="s">
        <v>164</v>
      </c>
      <c r="E184" s="107">
        <v>27100</v>
      </c>
      <c r="F184" s="107">
        <v>5897.67</v>
      </c>
      <c r="G184" s="107">
        <v>72</v>
      </c>
      <c r="H184" s="23">
        <f t="shared" si="3"/>
        <v>0.21762619926199261</v>
      </c>
      <c r="L184" s="129">
        <f>F195/F177</f>
        <v>5.922735845983472E-2</v>
      </c>
    </row>
    <row r="185" spans="1:12">
      <c r="A185" s="43"/>
      <c r="B185" s="20"/>
      <c r="C185" s="31" t="s">
        <v>173</v>
      </c>
      <c r="D185" s="32" t="s">
        <v>11</v>
      </c>
      <c r="E185" s="107">
        <v>212500</v>
      </c>
      <c r="F185" s="107">
        <v>95972.55</v>
      </c>
      <c r="G185" s="107">
        <v>6925.69</v>
      </c>
      <c r="H185" s="23">
        <f t="shared" si="3"/>
        <v>0.45163552941176471</v>
      </c>
    </row>
    <row r="186" spans="1:12" ht="25.5">
      <c r="A186" s="43"/>
      <c r="B186" s="20"/>
      <c r="C186" s="31" t="s">
        <v>227</v>
      </c>
      <c r="D186" s="32" t="s">
        <v>228</v>
      </c>
      <c r="E186" s="107">
        <v>12700</v>
      </c>
      <c r="F186" s="107">
        <v>1177.23</v>
      </c>
      <c r="G186" s="107">
        <v>0</v>
      </c>
      <c r="H186" s="23">
        <f t="shared" si="3"/>
        <v>9.2695275590551185E-2</v>
      </c>
    </row>
    <row r="187" spans="1:12">
      <c r="A187" s="43"/>
      <c r="B187" s="20"/>
      <c r="C187" s="31" t="s">
        <v>181</v>
      </c>
      <c r="D187" s="32" t="s">
        <v>24</v>
      </c>
      <c r="E187" s="107">
        <v>56200</v>
      </c>
      <c r="F187" s="107">
        <v>38930.6</v>
      </c>
      <c r="G187" s="107">
        <v>395.49</v>
      </c>
      <c r="H187" s="23">
        <f t="shared" si="3"/>
        <v>0.69271530249110314</v>
      </c>
    </row>
    <row r="188" spans="1:12">
      <c r="A188" s="43"/>
      <c r="B188" s="20"/>
      <c r="C188" s="31" t="s">
        <v>179</v>
      </c>
      <c r="D188" s="32" t="s">
        <v>21</v>
      </c>
      <c r="E188" s="107">
        <v>128250</v>
      </c>
      <c r="F188" s="107">
        <v>18751.93</v>
      </c>
      <c r="G188" s="107">
        <v>0</v>
      </c>
      <c r="H188" s="23">
        <f t="shared" si="3"/>
        <v>0.14621387914230019</v>
      </c>
    </row>
    <row r="189" spans="1:12">
      <c r="A189" s="43"/>
      <c r="B189" s="20"/>
      <c r="C189" s="31" t="s">
        <v>201</v>
      </c>
      <c r="D189" s="32" t="s">
        <v>37</v>
      </c>
      <c r="E189" s="107">
        <v>8390</v>
      </c>
      <c r="F189" s="107">
        <v>818</v>
      </c>
      <c r="G189" s="107">
        <v>0</v>
      </c>
      <c r="H189" s="23">
        <f t="shared" si="3"/>
        <v>9.7497020262216919E-2</v>
      </c>
    </row>
    <row r="190" spans="1:12">
      <c r="A190" s="43"/>
      <c r="B190" s="20"/>
      <c r="C190" s="31" t="s">
        <v>174</v>
      </c>
      <c r="D190" s="32" t="s">
        <v>13</v>
      </c>
      <c r="E190" s="107">
        <v>52400</v>
      </c>
      <c r="F190" s="107">
        <v>27091.34</v>
      </c>
      <c r="G190" s="107">
        <v>1657.04</v>
      </c>
      <c r="H190" s="23">
        <f t="shared" si="3"/>
        <v>0.51701030534351144</v>
      </c>
    </row>
    <row r="191" spans="1:12">
      <c r="A191" s="43"/>
      <c r="B191" s="20"/>
      <c r="C191" s="31" t="s">
        <v>202</v>
      </c>
      <c r="D191" s="32" t="s">
        <v>33</v>
      </c>
      <c r="E191" s="107">
        <v>2850</v>
      </c>
      <c r="F191" s="107">
        <v>1291.92</v>
      </c>
      <c r="G191" s="107">
        <v>0</v>
      </c>
      <c r="H191" s="23">
        <f t="shared" si="3"/>
        <v>0.45330526315789477</v>
      </c>
    </row>
    <row r="192" spans="1:12" ht="25.5">
      <c r="A192" s="43"/>
      <c r="B192" s="20"/>
      <c r="C192" s="31" t="s">
        <v>203</v>
      </c>
      <c r="D192" s="32" t="s">
        <v>204</v>
      </c>
      <c r="E192" s="107">
        <v>14900</v>
      </c>
      <c r="F192" s="107">
        <v>5914.8</v>
      </c>
      <c r="G192" s="107">
        <v>0</v>
      </c>
      <c r="H192" s="23">
        <f t="shared" si="3"/>
        <v>0.39696644295302014</v>
      </c>
    </row>
    <row r="193" spans="1:12">
      <c r="A193" s="43"/>
      <c r="B193" s="20"/>
      <c r="C193" s="31" t="s">
        <v>175</v>
      </c>
      <c r="D193" s="32" t="s">
        <v>25</v>
      </c>
      <c r="E193" s="107">
        <v>14400</v>
      </c>
      <c r="F193" s="107">
        <v>8004.11</v>
      </c>
      <c r="G193" s="107">
        <v>0</v>
      </c>
      <c r="H193" s="23">
        <f t="shared" si="3"/>
        <v>0.55584097222222217</v>
      </c>
    </row>
    <row r="194" spans="1:12">
      <c r="A194" s="43"/>
      <c r="B194" s="20"/>
      <c r="C194" s="31" t="s">
        <v>176</v>
      </c>
      <c r="D194" s="32" t="s">
        <v>26</v>
      </c>
      <c r="E194" s="107">
        <v>13100</v>
      </c>
      <c r="F194" s="107">
        <v>6123.8</v>
      </c>
      <c r="G194" s="107">
        <v>0</v>
      </c>
      <c r="H194" s="23">
        <f t="shared" si="3"/>
        <v>0.46746564885496183</v>
      </c>
    </row>
    <row r="195" spans="1:12" ht="25.5">
      <c r="A195" s="43"/>
      <c r="B195" s="20"/>
      <c r="C195" s="31" t="s">
        <v>206</v>
      </c>
      <c r="D195" s="32" t="s">
        <v>207</v>
      </c>
      <c r="E195" s="107">
        <v>175065</v>
      </c>
      <c r="F195" s="107">
        <v>134490.25</v>
      </c>
      <c r="G195" s="107">
        <v>0</v>
      </c>
      <c r="H195" s="23">
        <f t="shared" si="3"/>
        <v>0.76823037157627172</v>
      </c>
    </row>
    <row r="196" spans="1:12" ht="25.5">
      <c r="A196" s="43"/>
      <c r="B196" s="20"/>
      <c r="C196" s="31" t="s">
        <v>193</v>
      </c>
      <c r="D196" s="32" t="s">
        <v>189</v>
      </c>
      <c r="E196" s="107">
        <v>6300</v>
      </c>
      <c r="F196" s="107">
        <v>4466</v>
      </c>
      <c r="G196" s="107">
        <v>0</v>
      </c>
      <c r="H196" s="23">
        <f t="shared" si="3"/>
        <v>0.7088888888888889</v>
      </c>
    </row>
    <row r="197" spans="1:12" ht="25.5">
      <c r="A197" s="43"/>
      <c r="B197" s="20"/>
      <c r="C197" s="31" t="s">
        <v>194</v>
      </c>
      <c r="D197" s="32" t="s">
        <v>190</v>
      </c>
      <c r="E197" s="107">
        <v>5950</v>
      </c>
      <c r="F197" s="107">
        <v>957.43</v>
      </c>
      <c r="G197" s="107">
        <v>60.21</v>
      </c>
      <c r="H197" s="23">
        <f t="shared" si="3"/>
        <v>0.16091260504201679</v>
      </c>
    </row>
    <row r="198" spans="1:12" ht="25.5">
      <c r="A198" s="43"/>
      <c r="B198" s="20"/>
      <c r="C198" s="31" t="s">
        <v>208</v>
      </c>
      <c r="D198" s="32" t="s">
        <v>186</v>
      </c>
      <c r="E198" s="107">
        <v>12860</v>
      </c>
      <c r="F198" s="107">
        <v>7091.76</v>
      </c>
      <c r="G198" s="107">
        <v>0</v>
      </c>
      <c r="H198" s="23">
        <f t="shared" si="3"/>
        <v>0.5514587869362364</v>
      </c>
    </row>
    <row r="199" spans="1:12" ht="25.5">
      <c r="A199" s="43"/>
      <c r="B199" s="20"/>
      <c r="C199" s="31" t="s">
        <v>180</v>
      </c>
      <c r="D199" s="32" t="s">
        <v>160</v>
      </c>
      <c r="E199" s="107">
        <v>78000</v>
      </c>
      <c r="F199" s="107">
        <v>15320</v>
      </c>
      <c r="G199" s="107">
        <v>0</v>
      </c>
      <c r="H199" s="23">
        <f t="shared" si="3"/>
        <v>0.19641025641025642</v>
      </c>
    </row>
    <row r="200" spans="1:12" ht="25.5">
      <c r="A200" s="43"/>
      <c r="B200" s="20"/>
      <c r="C200" s="31" t="s">
        <v>182</v>
      </c>
      <c r="D200" s="32" t="s">
        <v>34</v>
      </c>
      <c r="E200" s="107">
        <v>63500</v>
      </c>
      <c r="F200" s="107">
        <v>0</v>
      </c>
      <c r="G200" s="107">
        <v>0</v>
      </c>
      <c r="H200" s="23">
        <f t="shared" si="3"/>
        <v>0</v>
      </c>
    </row>
    <row r="201" spans="1:12" ht="25.5">
      <c r="A201" s="13"/>
      <c r="B201" s="14">
        <v>80103</v>
      </c>
      <c r="C201" s="39"/>
      <c r="D201" s="15" t="s">
        <v>229</v>
      </c>
      <c r="E201" s="16">
        <f>SUM(E202:E211)</f>
        <v>288295</v>
      </c>
      <c r="F201" s="16">
        <f>SUM(F202:F211)</f>
        <v>165764.70000000001</v>
      </c>
      <c r="G201" s="16">
        <f>SUM(G202:G211)</f>
        <v>8419.8000000000011</v>
      </c>
      <c r="H201" s="17">
        <f t="shared" si="3"/>
        <v>0.57498291680396818</v>
      </c>
      <c r="I201" s="56"/>
    </row>
    <row r="202" spans="1:12" ht="25.5">
      <c r="A202" s="43"/>
      <c r="B202" s="20"/>
      <c r="C202" s="31" t="s">
        <v>195</v>
      </c>
      <c r="D202" s="32" t="s">
        <v>196</v>
      </c>
      <c r="E202" s="107">
        <v>19180</v>
      </c>
      <c r="F202" s="107">
        <v>12598.76</v>
      </c>
      <c r="G202" s="107">
        <v>658.25</v>
      </c>
      <c r="H202" s="23">
        <f t="shared" si="3"/>
        <v>0.65686965589155366</v>
      </c>
      <c r="L202" s="80">
        <f>F203+F204+F205+F206</f>
        <v>139364.24</v>
      </c>
    </row>
    <row r="203" spans="1:12">
      <c r="A203" s="43"/>
      <c r="B203" s="20"/>
      <c r="C203" s="31" t="s">
        <v>197</v>
      </c>
      <c r="D203" s="32" t="s">
        <v>184</v>
      </c>
      <c r="E203" s="107">
        <v>191392</v>
      </c>
      <c r="F203" s="107">
        <v>102782.66</v>
      </c>
      <c r="G203" s="107">
        <v>4560.01</v>
      </c>
      <c r="H203" s="23">
        <f t="shared" si="3"/>
        <v>0.53702693947500424</v>
      </c>
      <c r="L203" s="129">
        <f>L202/F201</f>
        <v>0.8407353314668321</v>
      </c>
    </row>
    <row r="204" spans="1:12">
      <c r="A204" s="43"/>
      <c r="B204" s="20"/>
      <c r="C204" s="31" t="s">
        <v>198</v>
      </c>
      <c r="D204" s="32" t="s">
        <v>185</v>
      </c>
      <c r="E204" s="107">
        <v>14452</v>
      </c>
      <c r="F204" s="107">
        <v>14450.16</v>
      </c>
      <c r="G204" s="107">
        <v>0</v>
      </c>
      <c r="H204" s="23">
        <f t="shared" si="3"/>
        <v>0.99987268198173263</v>
      </c>
    </row>
    <row r="205" spans="1:12">
      <c r="A205" s="43"/>
      <c r="B205" s="20"/>
      <c r="C205" s="31" t="s">
        <v>170</v>
      </c>
      <c r="D205" s="32" t="s">
        <v>45</v>
      </c>
      <c r="E205" s="107">
        <v>34565</v>
      </c>
      <c r="F205" s="107">
        <v>19075.96</v>
      </c>
      <c r="G205" s="107">
        <v>2756.86</v>
      </c>
      <c r="H205" s="23">
        <f t="shared" si="3"/>
        <v>0.55188659048170108</v>
      </c>
    </row>
    <row r="206" spans="1:12">
      <c r="A206" s="43"/>
      <c r="B206" s="20"/>
      <c r="C206" s="31" t="s">
        <v>171</v>
      </c>
      <c r="D206" s="32" t="s">
        <v>163</v>
      </c>
      <c r="E206" s="107">
        <v>5585</v>
      </c>
      <c r="F206" s="107">
        <v>3055.46</v>
      </c>
      <c r="G206" s="107">
        <v>444.68</v>
      </c>
      <c r="H206" s="23">
        <f t="shared" si="3"/>
        <v>0.54708325872873764</v>
      </c>
    </row>
    <row r="207" spans="1:12">
      <c r="A207" s="43"/>
      <c r="B207" s="20"/>
      <c r="C207" s="31" t="s">
        <v>173</v>
      </c>
      <c r="D207" s="32" t="s">
        <v>11</v>
      </c>
      <c r="E207" s="107">
        <v>1500</v>
      </c>
      <c r="F207" s="107">
        <v>60</v>
      </c>
      <c r="G207" s="107">
        <v>0</v>
      </c>
      <c r="H207" s="23">
        <f t="shared" si="3"/>
        <v>0.04</v>
      </c>
    </row>
    <row r="208" spans="1:12" ht="25.5">
      <c r="A208" s="43"/>
      <c r="B208" s="20"/>
      <c r="C208" s="31" t="s">
        <v>227</v>
      </c>
      <c r="D208" s="32" t="s">
        <v>228</v>
      </c>
      <c r="E208" s="107">
        <v>4000</v>
      </c>
      <c r="F208" s="107">
        <v>0</v>
      </c>
      <c r="G208" s="107">
        <v>0</v>
      </c>
      <c r="H208" s="23">
        <f t="shared" si="3"/>
        <v>0</v>
      </c>
    </row>
    <row r="209" spans="1:12">
      <c r="A209" s="43"/>
      <c r="B209" s="20"/>
      <c r="C209" s="31" t="s">
        <v>181</v>
      </c>
      <c r="D209" s="32" t="s">
        <v>24</v>
      </c>
      <c r="E209" s="107">
        <v>1000</v>
      </c>
      <c r="F209" s="107">
        <v>647.70000000000005</v>
      </c>
      <c r="G209" s="107">
        <v>0</v>
      </c>
      <c r="H209" s="23">
        <f t="shared" si="3"/>
        <v>0.64770000000000005</v>
      </c>
    </row>
    <row r="210" spans="1:12">
      <c r="A210" s="43"/>
      <c r="B210" s="20"/>
      <c r="C210" s="31" t="s">
        <v>201</v>
      </c>
      <c r="D210" s="32" t="s">
        <v>37</v>
      </c>
      <c r="E210" s="107">
        <v>450</v>
      </c>
      <c r="F210" s="107">
        <v>0</v>
      </c>
      <c r="G210" s="107">
        <v>0</v>
      </c>
      <c r="H210" s="23">
        <f t="shared" si="3"/>
        <v>0</v>
      </c>
    </row>
    <row r="211" spans="1:12" ht="25.5">
      <c r="A211" s="43"/>
      <c r="B211" s="20"/>
      <c r="C211" s="31" t="s">
        <v>206</v>
      </c>
      <c r="D211" s="32" t="s">
        <v>207</v>
      </c>
      <c r="E211" s="107">
        <v>16171</v>
      </c>
      <c r="F211" s="107">
        <v>13094</v>
      </c>
      <c r="G211" s="107">
        <v>0</v>
      </c>
      <c r="H211" s="23">
        <f t="shared" si="3"/>
        <v>0.80972110568301281</v>
      </c>
    </row>
    <row r="212" spans="1:12">
      <c r="A212" s="13"/>
      <c r="B212" s="123">
        <v>80104</v>
      </c>
      <c r="C212" s="39"/>
      <c r="D212" s="15" t="s">
        <v>230</v>
      </c>
      <c r="E212" s="16">
        <f>SUM(E213:E236)</f>
        <v>1099160</v>
      </c>
      <c r="F212" s="16">
        <f>SUM(F213:F236)</f>
        <v>208200.31000000003</v>
      </c>
      <c r="G212" s="16">
        <f>SUM(G213:G236)</f>
        <v>9075.09</v>
      </c>
      <c r="H212" s="17">
        <f t="shared" si="3"/>
        <v>0.18941765530041124</v>
      </c>
    </row>
    <row r="213" spans="1:12" ht="25.5">
      <c r="A213" s="43"/>
      <c r="B213" s="34"/>
      <c r="C213" s="31" t="s">
        <v>195</v>
      </c>
      <c r="D213" s="32" t="s">
        <v>196</v>
      </c>
      <c r="E213" s="107">
        <v>11550</v>
      </c>
      <c r="F213" s="107">
        <v>6692.45</v>
      </c>
      <c r="G213" s="107">
        <v>256.82</v>
      </c>
      <c r="H213" s="23">
        <f t="shared" si="3"/>
        <v>0.57943290043290041</v>
      </c>
      <c r="L213" s="80">
        <f>F214+F216+F217+F219</f>
        <v>67193.799999999988</v>
      </c>
    </row>
    <row r="214" spans="1:12">
      <c r="A214" s="43"/>
      <c r="B214" s="34"/>
      <c r="C214" s="31" t="s">
        <v>197</v>
      </c>
      <c r="D214" s="32" t="s">
        <v>184</v>
      </c>
      <c r="E214" s="107">
        <v>119933</v>
      </c>
      <c r="F214" s="107">
        <v>48966.67</v>
      </c>
      <c r="G214" s="107">
        <v>2466.6999999999998</v>
      </c>
      <c r="H214" s="23">
        <f t="shared" si="3"/>
        <v>0.40828354164408459</v>
      </c>
      <c r="L214" s="129">
        <f>L213/F212</f>
        <v>0.32273631100741385</v>
      </c>
    </row>
    <row r="215" spans="1:12">
      <c r="A215" s="43"/>
      <c r="B215" s="34"/>
      <c r="C215" s="31" t="s">
        <v>261</v>
      </c>
      <c r="D215" s="32" t="s">
        <v>184</v>
      </c>
      <c r="E215" s="107">
        <v>153918</v>
      </c>
      <c r="F215" s="107">
        <v>26139.27</v>
      </c>
      <c r="G215" s="107">
        <v>2657.23</v>
      </c>
      <c r="H215" s="23">
        <f t="shared" si="3"/>
        <v>0.16982594628308581</v>
      </c>
      <c r="L215" s="129"/>
    </row>
    <row r="216" spans="1:12">
      <c r="A216" s="43"/>
      <c r="B216" s="20"/>
      <c r="C216" s="31" t="s">
        <v>198</v>
      </c>
      <c r="D216" s="32" t="s">
        <v>185</v>
      </c>
      <c r="E216" s="107">
        <v>7250</v>
      </c>
      <c r="F216" s="107">
        <v>7249.57</v>
      </c>
      <c r="G216" s="107">
        <v>1222.46</v>
      </c>
      <c r="H216" s="23">
        <f t="shared" si="3"/>
        <v>0.99994068965517235</v>
      </c>
    </row>
    <row r="217" spans="1:12">
      <c r="A217" s="43"/>
      <c r="B217" s="20"/>
      <c r="C217" s="31" t="s">
        <v>231</v>
      </c>
      <c r="D217" s="32" t="s">
        <v>45</v>
      </c>
      <c r="E217" s="107">
        <v>24000</v>
      </c>
      <c r="F217" s="107">
        <v>9475.3799999999992</v>
      </c>
      <c r="G217" s="107">
        <v>282.45999999999998</v>
      </c>
      <c r="H217" s="23">
        <f t="shared" si="3"/>
        <v>0.39480749999999998</v>
      </c>
    </row>
    <row r="218" spans="1:12">
      <c r="A218" s="43"/>
      <c r="B218" s="20"/>
      <c r="C218" s="31" t="s">
        <v>170</v>
      </c>
      <c r="D218" s="32" t="s">
        <v>45</v>
      </c>
      <c r="E218" s="107">
        <v>23611</v>
      </c>
      <c r="F218" s="107">
        <v>1621.96</v>
      </c>
      <c r="G218" s="107">
        <v>1604.5</v>
      </c>
      <c r="H218" s="23">
        <f t="shared" si="3"/>
        <v>6.8695099741645851E-2</v>
      </c>
    </row>
    <row r="219" spans="1:12">
      <c r="A219" s="43"/>
      <c r="B219" s="20"/>
      <c r="C219" s="31" t="s">
        <v>171</v>
      </c>
      <c r="D219" s="32" t="s">
        <v>163</v>
      </c>
      <c r="E219" s="107">
        <v>3860</v>
      </c>
      <c r="F219" s="107">
        <v>1502.18</v>
      </c>
      <c r="G219" s="107">
        <v>12.13</v>
      </c>
      <c r="H219" s="23">
        <f t="shared" si="3"/>
        <v>0.38916580310880833</v>
      </c>
      <c r="L219" s="80">
        <f>F212-F235</f>
        <v>208200.31000000003</v>
      </c>
    </row>
    <row r="220" spans="1:12">
      <c r="A220" s="43"/>
      <c r="B220" s="20"/>
      <c r="C220" s="31" t="s">
        <v>233</v>
      </c>
      <c r="D220" s="32" t="s">
        <v>163</v>
      </c>
      <c r="E220" s="107">
        <v>3771</v>
      </c>
      <c r="F220" s="107">
        <v>258.24</v>
      </c>
      <c r="G220" s="107">
        <v>257.11</v>
      </c>
      <c r="H220" s="23">
        <f t="shared" si="3"/>
        <v>6.848050914876691E-2</v>
      </c>
    </row>
    <row r="221" spans="1:12">
      <c r="A221" s="43"/>
      <c r="B221" s="20"/>
      <c r="C221" s="31" t="s">
        <v>235</v>
      </c>
      <c r="D221" s="32" t="s">
        <v>164</v>
      </c>
      <c r="E221" s="107">
        <v>37600</v>
      </c>
      <c r="F221" s="107">
        <v>2108.3200000000002</v>
      </c>
      <c r="G221" s="107">
        <v>315.68</v>
      </c>
      <c r="H221" s="23">
        <f t="shared" si="3"/>
        <v>5.607234042553192E-2</v>
      </c>
    </row>
    <row r="222" spans="1:12">
      <c r="A222" s="43"/>
      <c r="B222" s="34"/>
      <c r="C222" s="31" t="s">
        <v>173</v>
      </c>
      <c r="D222" s="32" t="s">
        <v>11</v>
      </c>
      <c r="E222" s="107">
        <v>530</v>
      </c>
      <c r="F222" s="107">
        <v>500.69</v>
      </c>
      <c r="G222" s="107">
        <v>0</v>
      </c>
      <c r="H222" s="23">
        <f t="shared" si="3"/>
        <v>0.94469811320754715</v>
      </c>
    </row>
    <row r="223" spans="1:12">
      <c r="A223" s="43"/>
      <c r="B223" s="34"/>
      <c r="C223" s="31" t="s">
        <v>237</v>
      </c>
      <c r="D223" s="32" t="s">
        <v>11</v>
      </c>
      <c r="E223" s="107">
        <v>74050</v>
      </c>
      <c r="F223" s="107">
        <v>66002.350000000006</v>
      </c>
      <c r="G223" s="107">
        <v>0</v>
      </c>
      <c r="H223" s="23">
        <f t="shared" si="3"/>
        <v>0.89132140445644847</v>
      </c>
    </row>
    <row r="224" spans="1:12">
      <c r="A224" s="43"/>
      <c r="B224" s="34"/>
      <c r="C224" s="31" t="s">
        <v>238</v>
      </c>
      <c r="D224" s="32" t="s">
        <v>311</v>
      </c>
      <c r="E224" s="107">
        <v>8200</v>
      </c>
      <c r="F224" s="107">
        <v>7536.96</v>
      </c>
      <c r="G224" s="107">
        <v>0</v>
      </c>
      <c r="H224" s="23">
        <f t="shared" si="3"/>
        <v>0.9191414634146341</v>
      </c>
    </row>
    <row r="225" spans="1:12">
      <c r="A225" s="43"/>
      <c r="B225" s="34"/>
      <c r="C225" s="31" t="s">
        <v>310</v>
      </c>
      <c r="D225" s="32" t="s">
        <v>11</v>
      </c>
      <c r="E225" s="107">
        <v>47000</v>
      </c>
      <c r="F225" s="107">
        <v>2190.4899999999998</v>
      </c>
      <c r="G225" s="107">
        <v>0</v>
      </c>
      <c r="H225" s="23">
        <f t="shared" si="3"/>
        <v>4.6606170212765953E-2</v>
      </c>
    </row>
    <row r="226" spans="1:12" ht="26.25" customHeight="1">
      <c r="A226" s="43"/>
      <c r="B226" s="20"/>
      <c r="C226" s="31" t="s">
        <v>227</v>
      </c>
      <c r="D226" s="32" t="s">
        <v>228</v>
      </c>
      <c r="E226" s="107">
        <v>350</v>
      </c>
      <c r="F226" s="107">
        <v>0</v>
      </c>
      <c r="G226" s="107">
        <v>0</v>
      </c>
      <c r="H226" s="23">
        <f t="shared" si="3"/>
        <v>0</v>
      </c>
    </row>
    <row r="227" spans="1:12" ht="26.25" customHeight="1">
      <c r="A227" s="43"/>
      <c r="B227" s="20"/>
      <c r="C227" s="31" t="s">
        <v>239</v>
      </c>
      <c r="D227" s="32" t="s">
        <v>228</v>
      </c>
      <c r="E227" s="107">
        <v>25000</v>
      </c>
      <c r="F227" s="107">
        <v>14958.17</v>
      </c>
      <c r="G227" s="107">
        <v>0</v>
      </c>
      <c r="H227" s="23">
        <f t="shared" si="3"/>
        <v>0.59832680000000005</v>
      </c>
    </row>
    <row r="228" spans="1:12">
      <c r="A228" s="43"/>
      <c r="B228" s="20"/>
      <c r="C228" s="31" t="s">
        <v>181</v>
      </c>
      <c r="D228" s="32" t="s">
        <v>24</v>
      </c>
      <c r="E228" s="107">
        <v>3600</v>
      </c>
      <c r="F228" s="107">
        <v>733.47</v>
      </c>
      <c r="G228" s="107">
        <v>0</v>
      </c>
      <c r="H228" s="23">
        <f t="shared" si="3"/>
        <v>0.20374166666666668</v>
      </c>
    </row>
    <row r="229" spans="1:12">
      <c r="A229" s="43"/>
      <c r="B229" s="20"/>
      <c r="C229" s="31" t="s">
        <v>312</v>
      </c>
      <c r="D229" s="32" t="s">
        <v>21</v>
      </c>
      <c r="E229" s="107">
        <v>60000</v>
      </c>
      <c r="F229" s="107">
        <v>0</v>
      </c>
      <c r="G229" s="107">
        <v>0</v>
      </c>
      <c r="H229" s="23">
        <f t="shared" si="3"/>
        <v>0</v>
      </c>
    </row>
    <row r="230" spans="1:12">
      <c r="A230" s="43"/>
      <c r="B230" s="20"/>
      <c r="C230" s="31" t="s">
        <v>201</v>
      </c>
      <c r="D230" s="32" t="s">
        <v>37</v>
      </c>
      <c r="E230" s="107">
        <v>250</v>
      </c>
      <c r="F230" s="107">
        <v>0</v>
      </c>
      <c r="G230" s="107">
        <v>0</v>
      </c>
      <c r="H230" s="23">
        <f t="shared" si="3"/>
        <v>0</v>
      </c>
    </row>
    <row r="231" spans="1:12">
      <c r="A231" s="43"/>
      <c r="B231" s="20"/>
      <c r="C231" s="31" t="s">
        <v>240</v>
      </c>
      <c r="D231" s="32" t="s">
        <v>13</v>
      </c>
      <c r="E231" s="107">
        <v>13900</v>
      </c>
      <c r="F231" s="107">
        <v>6342</v>
      </c>
      <c r="G231" s="107">
        <v>0</v>
      </c>
      <c r="H231" s="23">
        <f t="shared" si="3"/>
        <v>0.45625899280575538</v>
      </c>
    </row>
    <row r="232" spans="1:12" ht="25.5">
      <c r="A232" s="43"/>
      <c r="B232" s="20"/>
      <c r="C232" s="31" t="s">
        <v>313</v>
      </c>
      <c r="D232" s="32" t="s">
        <v>188</v>
      </c>
      <c r="E232" s="107">
        <v>1350</v>
      </c>
      <c r="F232" s="107">
        <v>183.1</v>
      </c>
      <c r="G232" s="107">
        <v>0</v>
      </c>
      <c r="H232" s="23">
        <f t="shared" ref="H232:H304" si="5">F232/E232</f>
        <v>0.13562962962962963</v>
      </c>
    </row>
    <row r="233" spans="1:12">
      <c r="A233" s="43"/>
      <c r="B233" s="20"/>
      <c r="C233" s="31" t="s">
        <v>242</v>
      </c>
      <c r="D233" s="32" t="s">
        <v>25</v>
      </c>
      <c r="E233" s="107">
        <v>2250</v>
      </c>
      <c r="F233" s="107">
        <v>239.04</v>
      </c>
      <c r="G233" s="107">
        <v>0</v>
      </c>
      <c r="H233" s="23">
        <f t="shared" si="5"/>
        <v>0.10624</v>
      </c>
    </row>
    <row r="234" spans="1:12" ht="25.5">
      <c r="A234" s="43"/>
      <c r="B234" s="20"/>
      <c r="C234" s="31" t="s">
        <v>206</v>
      </c>
      <c r="D234" s="32" t="s">
        <v>207</v>
      </c>
      <c r="E234" s="107">
        <v>7187</v>
      </c>
      <c r="F234" s="107">
        <v>5500</v>
      </c>
      <c r="G234" s="107">
        <v>0</v>
      </c>
      <c r="H234" s="23">
        <f t="shared" si="5"/>
        <v>0.76527062752191455</v>
      </c>
    </row>
    <row r="235" spans="1:12" ht="25.5">
      <c r="A235" s="43"/>
      <c r="B235" s="20"/>
      <c r="C235" s="31" t="s">
        <v>180</v>
      </c>
      <c r="D235" s="32" t="s">
        <v>160</v>
      </c>
      <c r="E235" s="107">
        <v>280491.08</v>
      </c>
      <c r="F235" s="107">
        <v>0</v>
      </c>
      <c r="G235" s="107">
        <v>0</v>
      </c>
      <c r="H235" s="23">
        <f t="shared" si="5"/>
        <v>0</v>
      </c>
    </row>
    <row r="236" spans="1:12" ht="25.5">
      <c r="A236" s="43"/>
      <c r="B236" s="20"/>
      <c r="C236" s="31" t="s">
        <v>314</v>
      </c>
      <c r="D236" s="32" t="s">
        <v>160</v>
      </c>
      <c r="E236" s="107">
        <v>189508.92</v>
      </c>
      <c r="F236" s="107">
        <v>0</v>
      </c>
      <c r="G236" s="107">
        <v>0</v>
      </c>
      <c r="H236" s="23">
        <f t="shared" si="5"/>
        <v>0</v>
      </c>
    </row>
    <row r="237" spans="1:12">
      <c r="A237" s="78"/>
      <c r="B237" s="123">
        <v>80110</v>
      </c>
      <c r="C237" s="39"/>
      <c r="D237" s="15" t="s">
        <v>47</v>
      </c>
      <c r="E237" s="16">
        <f>SUM(E238:E259)</f>
        <v>1963140</v>
      </c>
      <c r="F237" s="16">
        <f>SUM(F238:F259)</f>
        <v>992333.28</v>
      </c>
      <c r="G237" s="16">
        <f>SUM(G238:G259)</f>
        <v>57340.05</v>
      </c>
      <c r="H237" s="17">
        <f t="shared" si="5"/>
        <v>0.50548268590115841</v>
      </c>
    </row>
    <row r="238" spans="1:12" ht="25.5">
      <c r="A238" s="43"/>
      <c r="B238" s="34"/>
      <c r="C238" s="31" t="s">
        <v>195</v>
      </c>
      <c r="D238" s="32" t="s">
        <v>196</v>
      </c>
      <c r="E238" s="107">
        <v>98180</v>
      </c>
      <c r="F238" s="107">
        <v>57548.56</v>
      </c>
      <c r="G238" s="107">
        <v>2552.5700000000002</v>
      </c>
      <c r="H238" s="23">
        <f t="shared" si="5"/>
        <v>0.58615359543695256</v>
      </c>
      <c r="L238" s="80" t="e">
        <f>F239+F240+F241+#REF!+#REF!+F242+#REF!+#REF!+F244+#REF!+#REF!</f>
        <v>#REF!</v>
      </c>
    </row>
    <row r="239" spans="1:12">
      <c r="A239" s="43"/>
      <c r="B239" s="34"/>
      <c r="C239" s="31" t="s">
        <v>197</v>
      </c>
      <c r="D239" s="32" t="s">
        <v>184</v>
      </c>
      <c r="E239" s="107">
        <v>1306150</v>
      </c>
      <c r="F239" s="107">
        <v>609651.13</v>
      </c>
      <c r="G239" s="107">
        <v>32721.68</v>
      </c>
      <c r="H239" s="23">
        <f t="shared" si="5"/>
        <v>0.46675430080771735</v>
      </c>
      <c r="L239" s="80" t="e">
        <f>#REF!+#REF!+#REF!+#REF!+#REF!+#REF!</f>
        <v>#REF!</v>
      </c>
    </row>
    <row r="240" spans="1:12">
      <c r="A240" s="43"/>
      <c r="B240" s="34"/>
      <c r="C240" s="31" t="s">
        <v>198</v>
      </c>
      <c r="D240" s="32" t="s">
        <v>185</v>
      </c>
      <c r="E240" s="107">
        <v>91880</v>
      </c>
      <c r="F240" s="107">
        <v>91274.41</v>
      </c>
      <c r="G240" s="107">
        <v>0</v>
      </c>
      <c r="H240" s="23">
        <f t="shared" si="5"/>
        <v>0.99340890291684814</v>
      </c>
    </row>
    <row r="241" spans="1:12">
      <c r="A241" s="43"/>
      <c r="B241" s="34"/>
      <c r="C241" s="31" t="s">
        <v>170</v>
      </c>
      <c r="D241" s="32" t="s">
        <v>45</v>
      </c>
      <c r="E241" s="107">
        <v>230320</v>
      </c>
      <c r="F241" s="107">
        <v>112098.51</v>
      </c>
      <c r="G241" s="107">
        <v>17048.82</v>
      </c>
      <c r="H241" s="23">
        <f t="shared" si="5"/>
        <v>0.48670766759291417</v>
      </c>
    </row>
    <row r="242" spans="1:12">
      <c r="A242" s="43"/>
      <c r="B242" s="34"/>
      <c r="C242" s="31" t="s">
        <v>171</v>
      </c>
      <c r="D242" s="32" t="s">
        <v>163</v>
      </c>
      <c r="E242" s="107">
        <v>36790</v>
      </c>
      <c r="F242" s="107">
        <v>17987.11</v>
      </c>
      <c r="G242" s="107">
        <v>2850.11</v>
      </c>
      <c r="H242" s="23">
        <f t="shared" si="5"/>
        <v>0.48891301984234847</v>
      </c>
      <c r="L242" s="80">
        <f>F237-F259</f>
        <v>992333.28</v>
      </c>
    </row>
    <row r="243" spans="1:12" ht="25.5">
      <c r="A243" s="43"/>
      <c r="B243" s="34"/>
      <c r="C243" s="31" t="s">
        <v>199</v>
      </c>
      <c r="D243" s="32" t="s">
        <v>200</v>
      </c>
      <c r="E243" s="107">
        <v>1500</v>
      </c>
      <c r="F243" s="107">
        <v>0</v>
      </c>
      <c r="G243" s="107">
        <v>0</v>
      </c>
      <c r="H243" s="23">
        <f t="shared" si="5"/>
        <v>0</v>
      </c>
      <c r="L243" s="129">
        <f>F255/F237</f>
        <v>5.7274104522625706E-2</v>
      </c>
    </row>
    <row r="244" spans="1:12">
      <c r="A244" s="43"/>
      <c r="B244" s="34"/>
      <c r="C244" s="31" t="s">
        <v>172</v>
      </c>
      <c r="D244" s="32" t="s">
        <v>164</v>
      </c>
      <c r="E244" s="107">
        <v>6500</v>
      </c>
      <c r="F244" s="107">
        <v>2374</v>
      </c>
      <c r="G244" s="107">
        <v>35</v>
      </c>
      <c r="H244" s="23">
        <f t="shared" si="5"/>
        <v>0.36523076923076925</v>
      </c>
    </row>
    <row r="245" spans="1:12">
      <c r="A245" s="43"/>
      <c r="B245" s="34"/>
      <c r="C245" s="31" t="s">
        <v>173</v>
      </c>
      <c r="D245" s="32" t="s">
        <v>11</v>
      </c>
      <c r="E245" s="107">
        <v>36653</v>
      </c>
      <c r="F245" s="107">
        <v>7855.21</v>
      </c>
      <c r="G245" s="107">
        <v>753.67</v>
      </c>
      <c r="H245" s="23">
        <f t="shared" si="5"/>
        <v>0.2143128802553679</v>
      </c>
    </row>
    <row r="246" spans="1:12" ht="25.5">
      <c r="A246" s="43"/>
      <c r="B246" s="34"/>
      <c r="C246" s="31" t="s">
        <v>227</v>
      </c>
      <c r="D246" s="32" t="s">
        <v>228</v>
      </c>
      <c r="E246" s="107">
        <v>6500</v>
      </c>
      <c r="F246" s="107">
        <v>670.54</v>
      </c>
      <c r="G246" s="107">
        <v>0</v>
      </c>
      <c r="H246" s="23">
        <f t="shared" si="5"/>
        <v>0.10315999999999999</v>
      </c>
    </row>
    <row r="247" spans="1:12">
      <c r="A247" s="43"/>
      <c r="B247" s="34"/>
      <c r="C247" s="31" t="s">
        <v>181</v>
      </c>
      <c r="D247" s="32" t="s">
        <v>24</v>
      </c>
      <c r="E247" s="107">
        <v>16000</v>
      </c>
      <c r="F247" s="107">
        <v>10681.4</v>
      </c>
      <c r="G247" s="107">
        <v>0</v>
      </c>
      <c r="H247" s="23">
        <f t="shared" si="5"/>
        <v>0.6675875</v>
      </c>
    </row>
    <row r="248" spans="1:12">
      <c r="A248" s="43"/>
      <c r="B248" s="34"/>
      <c r="C248" s="31" t="s">
        <v>179</v>
      </c>
      <c r="D248" s="32" t="s">
        <v>21</v>
      </c>
      <c r="E248" s="107">
        <v>9870</v>
      </c>
      <c r="F248" s="107">
        <v>207.4</v>
      </c>
      <c r="G248" s="107">
        <v>471.98</v>
      </c>
      <c r="H248" s="23">
        <f t="shared" si="5"/>
        <v>2.1013171225937183E-2</v>
      </c>
    </row>
    <row r="249" spans="1:12">
      <c r="A249" s="43"/>
      <c r="B249" s="34"/>
      <c r="C249" s="31" t="s">
        <v>201</v>
      </c>
      <c r="D249" s="32" t="s">
        <v>37</v>
      </c>
      <c r="E249" s="107">
        <v>1700</v>
      </c>
      <c r="F249" s="107">
        <v>245</v>
      </c>
      <c r="G249" s="107">
        <v>0</v>
      </c>
      <c r="H249" s="23">
        <f t="shared" si="5"/>
        <v>0.14411764705882352</v>
      </c>
    </row>
    <row r="250" spans="1:12">
      <c r="A250" s="43"/>
      <c r="B250" s="34"/>
      <c r="C250" s="31" t="s">
        <v>174</v>
      </c>
      <c r="D250" s="32" t="s">
        <v>13</v>
      </c>
      <c r="E250" s="107">
        <v>21648</v>
      </c>
      <c r="F250" s="107">
        <v>13113.45</v>
      </c>
      <c r="G250" s="107">
        <v>846.01</v>
      </c>
      <c r="H250" s="23">
        <f t="shared" si="5"/>
        <v>0.60575803769401337</v>
      </c>
    </row>
    <row r="251" spans="1:12">
      <c r="A251" s="43"/>
      <c r="B251" s="34"/>
      <c r="C251" s="31" t="s">
        <v>202</v>
      </c>
      <c r="D251" s="32" t="s">
        <v>33</v>
      </c>
      <c r="E251" s="107">
        <v>900</v>
      </c>
      <c r="F251" s="107">
        <v>344.77</v>
      </c>
      <c r="G251" s="107">
        <v>0</v>
      </c>
      <c r="H251" s="23">
        <f t="shared" si="5"/>
        <v>0.38307777777777774</v>
      </c>
    </row>
    <row r="252" spans="1:12" ht="25.5">
      <c r="A252" s="43"/>
      <c r="B252" s="34"/>
      <c r="C252" s="31" t="s">
        <v>203</v>
      </c>
      <c r="D252" s="32" t="s">
        <v>204</v>
      </c>
      <c r="E252" s="107">
        <v>5000</v>
      </c>
      <c r="F252" s="107">
        <v>2697.3</v>
      </c>
      <c r="G252" s="107">
        <v>0</v>
      </c>
      <c r="H252" s="23">
        <f t="shared" si="5"/>
        <v>0.53946000000000005</v>
      </c>
    </row>
    <row r="253" spans="1:12">
      <c r="A253" s="43"/>
      <c r="B253" s="34"/>
      <c r="C253" s="31" t="s">
        <v>175</v>
      </c>
      <c r="D253" s="32" t="s">
        <v>25</v>
      </c>
      <c r="E253" s="107">
        <v>3500</v>
      </c>
      <c r="F253" s="107">
        <v>2290.42</v>
      </c>
      <c r="G253" s="107">
        <v>0</v>
      </c>
      <c r="H253" s="23">
        <f t="shared" si="5"/>
        <v>0.65440571428571426</v>
      </c>
    </row>
    <row r="254" spans="1:12">
      <c r="A254" s="43"/>
      <c r="B254" s="34"/>
      <c r="C254" s="31" t="s">
        <v>176</v>
      </c>
      <c r="D254" s="32" t="s">
        <v>26</v>
      </c>
      <c r="E254" s="107">
        <v>6769</v>
      </c>
      <c r="F254" s="107">
        <v>3696.2</v>
      </c>
      <c r="G254" s="107">
        <v>0</v>
      </c>
      <c r="H254" s="23">
        <f t="shared" si="5"/>
        <v>0.5460481607327522</v>
      </c>
    </row>
    <row r="255" spans="1:12" ht="25.5">
      <c r="A255" s="43"/>
      <c r="B255" s="34"/>
      <c r="C255" s="31" t="s">
        <v>206</v>
      </c>
      <c r="D255" s="32" t="s">
        <v>207</v>
      </c>
      <c r="E255" s="107">
        <v>75780</v>
      </c>
      <c r="F255" s="107">
        <v>56835</v>
      </c>
      <c r="G255" s="107">
        <v>0</v>
      </c>
      <c r="H255" s="23">
        <f t="shared" si="5"/>
        <v>0.75</v>
      </c>
    </row>
    <row r="256" spans="1:12" ht="25.5">
      <c r="A256" s="43"/>
      <c r="B256" s="34"/>
      <c r="C256" s="31" t="s">
        <v>193</v>
      </c>
      <c r="D256" s="32" t="s">
        <v>189</v>
      </c>
      <c r="E256" s="107">
        <v>1500</v>
      </c>
      <c r="F256" s="107">
        <v>1472</v>
      </c>
      <c r="G256" s="107">
        <v>0</v>
      </c>
      <c r="H256" s="23">
        <f t="shared" si="5"/>
        <v>0.98133333333333328</v>
      </c>
    </row>
    <row r="257" spans="1:13" ht="25.5">
      <c r="A257" s="43"/>
      <c r="B257" s="34"/>
      <c r="C257" s="31" t="s">
        <v>194</v>
      </c>
      <c r="D257" s="32" t="s">
        <v>190</v>
      </c>
      <c r="E257" s="107">
        <v>2000</v>
      </c>
      <c r="F257" s="107">
        <v>780.87</v>
      </c>
      <c r="G257" s="107">
        <v>60.21</v>
      </c>
      <c r="H257" s="23">
        <f t="shared" si="5"/>
        <v>0.39043499999999998</v>
      </c>
    </row>
    <row r="258" spans="1:13" ht="25.5">
      <c r="A258" s="43"/>
      <c r="B258" s="34"/>
      <c r="C258" s="31" t="s">
        <v>208</v>
      </c>
      <c r="D258" s="32" t="s">
        <v>186</v>
      </c>
      <c r="E258" s="107">
        <v>4000</v>
      </c>
      <c r="F258" s="107">
        <v>510</v>
      </c>
      <c r="G258" s="107">
        <v>0</v>
      </c>
      <c r="H258" s="23">
        <f t="shared" si="5"/>
        <v>0.1275</v>
      </c>
    </row>
    <row r="259" spans="1:13" ht="25.5" hidden="1">
      <c r="A259" s="43"/>
      <c r="B259" s="34"/>
      <c r="C259" s="31" t="s">
        <v>182</v>
      </c>
      <c r="D259" s="32" t="s">
        <v>34</v>
      </c>
      <c r="E259" s="107"/>
      <c r="F259" s="107"/>
      <c r="G259" s="107"/>
      <c r="H259" s="23" t="e">
        <f t="shared" si="5"/>
        <v>#DIV/0!</v>
      </c>
    </row>
    <row r="260" spans="1:13">
      <c r="A260" s="14"/>
      <c r="B260" s="123">
        <v>80113</v>
      </c>
      <c r="C260" s="39"/>
      <c r="D260" s="15" t="s">
        <v>243</v>
      </c>
      <c r="E260" s="16">
        <f>SUM(E261:E274)</f>
        <v>717800</v>
      </c>
      <c r="F260" s="16">
        <f>SUM(F261:F274)</f>
        <v>390930.05</v>
      </c>
      <c r="G260" s="16">
        <f>SUM(G261:G274)</f>
        <v>9879.619999999999</v>
      </c>
      <c r="H260" s="17">
        <f t="shared" si="5"/>
        <v>0.54462252716634163</v>
      </c>
    </row>
    <row r="261" spans="1:13" ht="25.5">
      <c r="A261" s="43"/>
      <c r="B261" s="34"/>
      <c r="C261" s="31" t="s">
        <v>195</v>
      </c>
      <c r="D261" s="32" t="s">
        <v>196</v>
      </c>
      <c r="E261" s="107">
        <v>290</v>
      </c>
      <c r="F261" s="107">
        <v>47.82</v>
      </c>
      <c r="G261" s="107">
        <v>0</v>
      </c>
      <c r="H261" s="23">
        <f t="shared" si="5"/>
        <v>0.16489655172413792</v>
      </c>
    </row>
    <row r="262" spans="1:13" s="24" customFormat="1">
      <c r="A262" s="20"/>
      <c r="B262" s="34"/>
      <c r="C262" s="31" t="s">
        <v>197</v>
      </c>
      <c r="D262" s="32" t="s">
        <v>184</v>
      </c>
      <c r="E262" s="107">
        <v>158340</v>
      </c>
      <c r="F262" s="107">
        <v>81136.06</v>
      </c>
      <c r="G262" s="107">
        <v>6867.05</v>
      </c>
      <c r="H262" s="23">
        <f t="shared" si="5"/>
        <v>0.51241669824428449</v>
      </c>
      <c r="L262" s="79">
        <f>F262+F263+F264+F265+F266</f>
        <v>113038.23999999999</v>
      </c>
      <c r="M262" s="79"/>
    </row>
    <row r="263" spans="1:13">
      <c r="A263" s="20"/>
      <c r="B263" s="20"/>
      <c r="C263" s="31" t="s">
        <v>198</v>
      </c>
      <c r="D263" s="32" t="s">
        <v>185</v>
      </c>
      <c r="E263" s="107">
        <v>7830</v>
      </c>
      <c r="F263" s="107">
        <v>5939.34</v>
      </c>
      <c r="G263" s="107">
        <v>0</v>
      </c>
      <c r="H263" s="23">
        <f t="shared" si="5"/>
        <v>0.75853639846743293</v>
      </c>
    </row>
    <row r="264" spans="1:13">
      <c r="A264" s="20"/>
      <c r="B264" s="20"/>
      <c r="C264" s="31" t="s">
        <v>170</v>
      </c>
      <c r="D264" s="32" t="s">
        <v>45</v>
      </c>
      <c r="E264" s="107">
        <v>23570</v>
      </c>
      <c r="F264" s="107">
        <v>10410.530000000001</v>
      </c>
      <c r="G264" s="107">
        <v>1284.1500000000001</v>
      </c>
      <c r="H264" s="23">
        <f t="shared" si="5"/>
        <v>0.44168561731014006</v>
      </c>
      <c r="L264" s="80">
        <f>L262/F260</f>
        <v>0.28915208743866067</v>
      </c>
    </row>
    <row r="265" spans="1:13">
      <c r="A265" s="20"/>
      <c r="B265" s="20"/>
      <c r="C265" s="31" t="s">
        <v>171</v>
      </c>
      <c r="D265" s="32" t="s">
        <v>163</v>
      </c>
      <c r="E265" s="107">
        <v>3770</v>
      </c>
      <c r="F265" s="107">
        <v>1674.6</v>
      </c>
      <c r="G265" s="107">
        <v>342.15</v>
      </c>
      <c r="H265" s="23">
        <f t="shared" si="5"/>
        <v>0.44419098143236074</v>
      </c>
    </row>
    <row r="266" spans="1:13">
      <c r="A266" s="20"/>
      <c r="B266" s="20"/>
      <c r="C266" s="31" t="s">
        <v>172</v>
      </c>
      <c r="D266" s="32" t="s">
        <v>164</v>
      </c>
      <c r="E266" s="107">
        <v>17000</v>
      </c>
      <c r="F266" s="107">
        <v>13877.71</v>
      </c>
      <c r="G266" s="107">
        <v>570.98</v>
      </c>
      <c r="H266" s="23">
        <f t="shared" si="5"/>
        <v>0.81633588235294108</v>
      </c>
    </row>
    <row r="267" spans="1:13">
      <c r="A267" s="20"/>
      <c r="B267" s="20"/>
      <c r="C267" s="31" t="s">
        <v>173</v>
      </c>
      <c r="D267" s="32" t="s">
        <v>11</v>
      </c>
      <c r="E267" s="107">
        <v>35500</v>
      </c>
      <c r="F267" s="107">
        <v>20892.259999999998</v>
      </c>
      <c r="G267" s="107">
        <v>815.29</v>
      </c>
      <c r="H267" s="23">
        <f t="shared" si="5"/>
        <v>0.588514366197183</v>
      </c>
      <c r="L267" s="80">
        <f>F260-L262</f>
        <v>277891.81</v>
      </c>
    </row>
    <row r="268" spans="1:13" s="24" customFormat="1">
      <c r="A268" s="20"/>
      <c r="B268" s="20"/>
      <c r="C268" s="31" t="s">
        <v>179</v>
      </c>
      <c r="D268" s="32" t="s">
        <v>21</v>
      </c>
      <c r="E268" s="107">
        <v>8000</v>
      </c>
      <c r="F268" s="107">
        <v>0</v>
      </c>
      <c r="G268" s="107">
        <v>0</v>
      </c>
      <c r="H268" s="23">
        <f t="shared" si="5"/>
        <v>0</v>
      </c>
      <c r="L268" s="79"/>
      <c r="M268" s="79"/>
    </row>
    <row r="269" spans="1:13" s="24" customFormat="1">
      <c r="A269" s="20"/>
      <c r="B269" s="20"/>
      <c r="C269" s="31" t="s">
        <v>201</v>
      </c>
      <c r="D269" s="32" t="s">
        <v>37</v>
      </c>
      <c r="E269" s="107">
        <v>300</v>
      </c>
      <c r="F269" s="107">
        <v>105</v>
      </c>
      <c r="G269" s="107">
        <v>0</v>
      </c>
      <c r="H269" s="23">
        <f t="shared" si="5"/>
        <v>0.35</v>
      </c>
      <c r="L269" s="79"/>
      <c r="M269" s="79"/>
    </row>
    <row r="270" spans="1:13" s="24" customFormat="1">
      <c r="A270" s="20"/>
      <c r="B270" s="20"/>
      <c r="C270" s="31" t="s">
        <v>174</v>
      </c>
      <c r="D270" s="32" t="s">
        <v>13</v>
      </c>
      <c r="E270" s="107">
        <v>441160</v>
      </c>
      <c r="F270" s="107">
        <v>248376.28</v>
      </c>
      <c r="G270" s="107">
        <v>0</v>
      </c>
      <c r="H270" s="23">
        <f t="shared" si="5"/>
        <v>0.56300725360413451</v>
      </c>
      <c r="L270" s="79"/>
      <c r="M270" s="79"/>
    </row>
    <row r="271" spans="1:13" ht="25.5">
      <c r="A271" s="20"/>
      <c r="B271" s="20"/>
      <c r="C271" s="31" t="s">
        <v>192</v>
      </c>
      <c r="D271" s="32" t="s">
        <v>188</v>
      </c>
      <c r="E271" s="107">
        <v>1000</v>
      </c>
      <c r="F271" s="107">
        <v>366.45</v>
      </c>
      <c r="G271" s="107">
        <v>0</v>
      </c>
      <c r="H271" s="23">
        <f t="shared" si="5"/>
        <v>0.36645</v>
      </c>
    </row>
    <row r="272" spans="1:13">
      <c r="A272" s="20"/>
      <c r="B272" s="20"/>
      <c r="C272" s="31" t="s">
        <v>175</v>
      </c>
      <c r="D272" s="32" t="s">
        <v>25</v>
      </c>
      <c r="E272" s="107">
        <v>500</v>
      </c>
      <c r="F272" s="107">
        <v>0</v>
      </c>
      <c r="G272" s="107">
        <v>0</v>
      </c>
      <c r="H272" s="23">
        <f t="shared" si="5"/>
        <v>0</v>
      </c>
    </row>
    <row r="273" spans="1:13">
      <c r="A273" s="20"/>
      <c r="B273" s="20"/>
      <c r="C273" s="31" t="s">
        <v>176</v>
      </c>
      <c r="D273" s="32" t="s">
        <v>26</v>
      </c>
      <c r="E273" s="107">
        <v>10000</v>
      </c>
      <c r="F273" s="107">
        <v>199</v>
      </c>
      <c r="G273" s="107">
        <v>0</v>
      </c>
      <c r="H273" s="23">
        <f t="shared" si="5"/>
        <v>1.9900000000000001E-2</v>
      </c>
    </row>
    <row r="274" spans="1:13" ht="25.5">
      <c r="A274" s="20"/>
      <c r="B274" s="20"/>
      <c r="C274" s="31" t="s">
        <v>206</v>
      </c>
      <c r="D274" s="32" t="s">
        <v>207</v>
      </c>
      <c r="E274" s="107">
        <v>10540</v>
      </c>
      <c r="F274" s="107">
        <v>7905</v>
      </c>
      <c r="G274" s="107">
        <v>0</v>
      </c>
      <c r="H274" s="23">
        <f t="shared" si="5"/>
        <v>0.75</v>
      </c>
    </row>
    <row r="275" spans="1:13">
      <c r="A275" s="14"/>
      <c r="B275" s="14">
        <v>80146</v>
      </c>
      <c r="C275" s="39"/>
      <c r="D275" s="15" t="s">
        <v>244</v>
      </c>
      <c r="E275" s="16">
        <f>SUM(E276:E277)</f>
        <v>27040</v>
      </c>
      <c r="F275" s="16">
        <f>SUM(F276:F277)</f>
        <v>6080.1100000000006</v>
      </c>
      <c r="G275" s="16">
        <f>SUM(G276:G277)</f>
        <v>1680</v>
      </c>
      <c r="H275" s="17">
        <f t="shared" si="5"/>
        <v>0.22485613905325447</v>
      </c>
    </row>
    <row r="276" spans="1:13">
      <c r="A276" s="20"/>
      <c r="B276" s="45"/>
      <c r="C276" s="31" t="s">
        <v>175</v>
      </c>
      <c r="D276" s="32" t="s">
        <v>25</v>
      </c>
      <c r="E276" s="107">
        <v>1900</v>
      </c>
      <c r="F276" s="107">
        <v>441.06</v>
      </c>
      <c r="G276" s="107">
        <v>0</v>
      </c>
      <c r="H276" s="23">
        <f t="shared" si="5"/>
        <v>0.23213684210526317</v>
      </c>
    </row>
    <row r="277" spans="1:13" ht="25.5">
      <c r="A277" s="20"/>
      <c r="B277" s="45"/>
      <c r="C277" s="31" t="s">
        <v>193</v>
      </c>
      <c r="D277" s="32" t="s">
        <v>189</v>
      </c>
      <c r="E277" s="107">
        <v>25140</v>
      </c>
      <c r="F277" s="107">
        <v>5639.05</v>
      </c>
      <c r="G277" s="107">
        <v>1680</v>
      </c>
      <c r="H277" s="23">
        <f t="shared" si="5"/>
        <v>0.22430588703261736</v>
      </c>
    </row>
    <row r="278" spans="1:13" s="18" customFormat="1">
      <c r="A278" s="81"/>
      <c r="B278" s="81">
        <v>80148</v>
      </c>
      <c r="C278" s="66"/>
      <c r="D278" s="81" t="s">
        <v>145</v>
      </c>
      <c r="E278" s="82">
        <f>SUM(E279:E291)</f>
        <v>272440</v>
      </c>
      <c r="F278" s="82">
        <f>SUM(F279:F291)</f>
        <v>120557.62</v>
      </c>
      <c r="G278" s="82">
        <f>SUM(G279:G291)</f>
        <v>4558.3999999999996</v>
      </c>
      <c r="H278" s="17">
        <f t="shared" si="5"/>
        <v>0.44251071795624725</v>
      </c>
      <c r="L278" s="127"/>
      <c r="M278" s="127"/>
    </row>
    <row r="279" spans="1:13">
      <c r="A279" s="20"/>
      <c r="B279" s="45"/>
      <c r="C279" s="25">
        <v>3020</v>
      </c>
      <c r="D279" s="115" t="s">
        <v>128</v>
      </c>
      <c r="E279" s="107">
        <v>2060</v>
      </c>
      <c r="F279" s="107">
        <v>489</v>
      </c>
      <c r="G279" s="107">
        <v>0</v>
      </c>
      <c r="H279" s="23">
        <f t="shared" si="5"/>
        <v>0.23737864077669904</v>
      </c>
    </row>
    <row r="280" spans="1:13">
      <c r="A280" s="20"/>
      <c r="B280" s="45"/>
      <c r="C280" s="25">
        <v>4010</v>
      </c>
      <c r="D280" s="115" t="s">
        <v>29</v>
      </c>
      <c r="E280" s="107">
        <v>160446</v>
      </c>
      <c r="F280" s="107">
        <v>69296.27</v>
      </c>
      <c r="G280" s="107">
        <v>3666.76</v>
      </c>
      <c r="H280" s="23">
        <f t="shared" si="5"/>
        <v>0.4318977724592698</v>
      </c>
      <c r="L280" s="80">
        <f>F280+F281+F282+F283</f>
        <v>94534.42</v>
      </c>
    </row>
    <row r="281" spans="1:13">
      <c r="A281" s="20"/>
      <c r="B281" s="45"/>
      <c r="C281" s="25">
        <v>4040</v>
      </c>
      <c r="D281" s="115" t="s">
        <v>30</v>
      </c>
      <c r="E281" s="107">
        <v>10890</v>
      </c>
      <c r="F281" s="107">
        <v>10673.56</v>
      </c>
      <c r="G281" s="107">
        <v>0</v>
      </c>
      <c r="H281" s="23">
        <f t="shared" si="5"/>
        <v>0.98012488521579422</v>
      </c>
      <c r="L281" s="129">
        <f>L280/F278</f>
        <v>0.78414305126461525</v>
      </c>
    </row>
    <row r="282" spans="1:13">
      <c r="A282" s="20"/>
      <c r="B282" s="45"/>
      <c r="C282" s="25">
        <v>4110</v>
      </c>
      <c r="D282" s="115" t="s">
        <v>45</v>
      </c>
      <c r="E282" s="107">
        <v>26340</v>
      </c>
      <c r="F282" s="107">
        <v>12679.92</v>
      </c>
      <c r="G282" s="107">
        <v>352.94</v>
      </c>
      <c r="H282" s="23">
        <f t="shared" si="5"/>
        <v>0.48139407744874718</v>
      </c>
    </row>
    <row r="283" spans="1:13">
      <c r="A283" s="20"/>
      <c r="B283" s="45"/>
      <c r="C283" s="25">
        <v>4120</v>
      </c>
      <c r="D283" s="115" t="s">
        <v>18</v>
      </c>
      <c r="E283" s="107">
        <v>4210</v>
      </c>
      <c r="F283" s="107">
        <v>1884.67</v>
      </c>
      <c r="G283" s="107">
        <v>242.34</v>
      </c>
      <c r="H283" s="23">
        <f t="shared" si="5"/>
        <v>0.44766508313539194</v>
      </c>
    </row>
    <row r="284" spans="1:13">
      <c r="A284" s="20"/>
      <c r="B284" s="45"/>
      <c r="C284" s="25">
        <v>4170</v>
      </c>
      <c r="D284" s="115" t="s">
        <v>127</v>
      </c>
      <c r="E284" s="107">
        <v>1500</v>
      </c>
      <c r="F284" s="107">
        <v>503.75</v>
      </c>
      <c r="G284" s="107">
        <v>103.62</v>
      </c>
      <c r="H284" s="23">
        <f t="shared" si="5"/>
        <v>0.33583333333333332</v>
      </c>
    </row>
    <row r="285" spans="1:13">
      <c r="A285" s="20"/>
      <c r="B285" s="45"/>
      <c r="C285" s="25">
        <v>4210</v>
      </c>
      <c r="D285" s="115" t="s">
        <v>11</v>
      </c>
      <c r="E285" s="107">
        <v>13060</v>
      </c>
      <c r="F285" s="107">
        <v>2112.7800000000002</v>
      </c>
      <c r="G285" s="107">
        <v>81.59</v>
      </c>
      <c r="H285" s="23">
        <f t="shared" si="5"/>
        <v>0.16177488514548241</v>
      </c>
    </row>
    <row r="286" spans="1:13">
      <c r="A286" s="20"/>
      <c r="B286" s="45"/>
      <c r="C286" s="25">
        <v>4260</v>
      </c>
      <c r="D286" s="115" t="s">
        <v>24</v>
      </c>
      <c r="E286" s="107">
        <v>20000</v>
      </c>
      <c r="F286" s="107">
        <v>13878.59</v>
      </c>
      <c r="G286" s="107">
        <v>0</v>
      </c>
      <c r="H286" s="23">
        <f t="shared" si="5"/>
        <v>0.69392949999999998</v>
      </c>
      <c r="L286" s="80">
        <f>F288+F287+F289</f>
        <v>2393.58</v>
      </c>
    </row>
    <row r="287" spans="1:13">
      <c r="A287" s="20"/>
      <c r="B287" s="45"/>
      <c r="C287" s="25">
        <v>4270</v>
      </c>
      <c r="D287" s="115" t="s">
        <v>56</v>
      </c>
      <c r="E287" s="107">
        <v>4520</v>
      </c>
      <c r="F287" s="107">
        <v>740.91</v>
      </c>
      <c r="G287" s="107">
        <v>111.15</v>
      </c>
      <c r="H287" s="23">
        <f t="shared" si="5"/>
        <v>0.16391814159292034</v>
      </c>
    </row>
    <row r="288" spans="1:13">
      <c r="A288" s="20"/>
      <c r="B288" s="45"/>
      <c r="C288" s="25">
        <v>4280</v>
      </c>
      <c r="D288" s="115" t="s">
        <v>37</v>
      </c>
      <c r="E288" s="107">
        <v>1200</v>
      </c>
      <c r="F288" s="107">
        <v>0</v>
      </c>
      <c r="G288" s="107">
        <v>0</v>
      </c>
      <c r="H288" s="23">
        <f t="shared" si="5"/>
        <v>0</v>
      </c>
    </row>
    <row r="289" spans="1:12">
      <c r="A289" s="20"/>
      <c r="B289" s="45"/>
      <c r="C289" s="25">
        <v>4300</v>
      </c>
      <c r="D289" s="115" t="s">
        <v>13</v>
      </c>
      <c r="E289" s="107">
        <v>5360</v>
      </c>
      <c r="F289" s="107">
        <v>1652.67</v>
      </c>
      <c r="G289" s="107">
        <v>0</v>
      </c>
      <c r="H289" s="23">
        <f t="shared" si="5"/>
        <v>0.30833395522388063</v>
      </c>
    </row>
    <row r="290" spans="1:12">
      <c r="A290" s="20"/>
      <c r="B290" s="45"/>
      <c r="C290" s="25">
        <v>4440</v>
      </c>
      <c r="D290" s="116" t="s">
        <v>53</v>
      </c>
      <c r="E290" s="107">
        <v>8854</v>
      </c>
      <c r="F290" s="107">
        <v>6645.5</v>
      </c>
      <c r="G290" s="107">
        <v>0</v>
      </c>
      <c r="H290" s="23">
        <f t="shared" si="5"/>
        <v>0.75056471651231083</v>
      </c>
      <c r="L290" s="80">
        <f>F278-F291</f>
        <v>120557.62</v>
      </c>
    </row>
    <row r="291" spans="1:12">
      <c r="A291" s="20"/>
      <c r="B291" s="45"/>
      <c r="C291" s="25">
        <v>6060</v>
      </c>
      <c r="D291" s="115" t="s">
        <v>129</v>
      </c>
      <c r="E291" s="107">
        <v>14000</v>
      </c>
      <c r="F291" s="107">
        <v>0</v>
      </c>
      <c r="G291" s="107">
        <v>0</v>
      </c>
      <c r="H291" s="23">
        <f t="shared" si="5"/>
        <v>0</v>
      </c>
    </row>
    <row r="292" spans="1:12">
      <c r="A292" s="14"/>
      <c r="B292" s="123">
        <v>80195</v>
      </c>
      <c r="C292" s="39"/>
      <c r="D292" s="15" t="s">
        <v>17</v>
      </c>
      <c r="E292" s="16">
        <f>SUM(E293:E299)</f>
        <v>677113</v>
      </c>
      <c r="F292" s="16">
        <f>SUM(F293:F299)</f>
        <v>45726.17</v>
      </c>
      <c r="G292" s="16">
        <f>SUM(G293:G299)</f>
        <v>0</v>
      </c>
      <c r="H292" s="17">
        <f t="shared" si="5"/>
        <v>6.7531076792204547E-2</v>
      </c>
    </row>
    <row r="293" spans="1:12">
      <c r="A293" s="20"/>
      <c r="B293" s="34"/>
      <c r="C293" s="31" t="s">
        <v>172</v>
      </c>
      <c r="D293" s="32" t="s">
        <v>164</v>
      </c>
      <c r="E293" s="107">
        <v>200</v>
      </c>
      <c r="F293" s="107">
        <v>0</v>
      </c>
      <c r="G293" s="107">
        <v>0</v>
      </c>
      <c r="H293" s="23">
        <f t="shared" si="5"/>
        <v>0</v>
      </c>
      <c r="L293" s="80" t="e">
        <f>F293+#REF!+F296</f>
        <v>#REF!</v>
      </c>
    </row>
    <row r="294" spans="1:12">
      <c r="A294" s="20"/>
      <c r="B294" s="34"/>
      <c r="C294" s="31" t="s">
        <v>173</v>
      </c>
      <c r="D294" s="32" t="s">
        <v>11</v>
      </c>
      <c r="E294" s="107">
        <v>2670</v>
      </c>
      <c r="F294" s="107">
        <v>2012.17</v>
      </c>
      <c r="G294" s="107">
        <v>0</v>
      </c>
      <c r="H294" s="23">
        <f t="shared" si="5"/>
        <v>0.75362172284644202</v>
      </c>
    </row>
    <row r="295" spans="1:12">
      <c r="A295" s="20"/>
      <c r="B295" s="34"/>
      <c r="C295" s="135">
        <v>4280</v>
      </c>
      <c r="D295" s="115" t="s">
        <v>37</v>
      </c>
      <c r="E295" s="107">
        <v>900</v>
      </c>
      <c r="F295" s="107">
        <v>880</v>
      </c>
      <c r="G295" s="107">
        <v>0</v>
      </c>
      <c r="H295" s="23"/>
    </row>
    <row r="296" spans="1:12">
      <c r="A296" s="20"/>
      <c r="B296" s="34"/>
      <c r="C296" s="31" t="s">
        <v>174</v>
      </c>
      <c r="D296" s="32" t="s">
        <v>13</v>
      </c>
      <c r="E296" s="107">
        <v>16415</v>
      </c>
      <c r="F296" s="107">
        <v>0</v>
      </c>
      <c r="G296" s="107">
        <v>0</v>
      </c>
      <c r="H296" s="23">
        <f t="shared" si="5"/>
        <v>0</v>
      </c>
    </row>
    <row r="297" spans="1:12">
      <c r="A297" s="20"/>
      <c r="B297" s="34"/>
      <c r="C297" s="31" t="s">
        <v>176</v>
      </c>
      <c r="D297" s="32" t="s">
        <v>26</v>
      </c>
      <c r="E297" s="107">
        <v>430</v>
      </c>
      <c r="F297" s="107">
        <v>430</v>
      </c>
      <c r="G297" s="107">
        <v>0</v>
      </c>
      <c r="H297" s="23">
        <f t="shared" si="5"/>
        <v>1</v>
      </c>
      <c r="L297" s="80">
        <f>F292-F299</f>
        <v>45696.17</v>
      </c>
    </row>
    <row r="298" spans="1:12" ht="25.5">
      <c r="A298" s="20"/>
      <c r="B298" s="34"/>
      <c r="C298" s="31" t="s">
        <v>206</v>
      </c>
      <c r="D298" s="32" t="s">
        <v>207</v>
      </c>
      <c r="E298" s="107">
        <v>56498</v>
      </c>
      <c r="F298" s="107">
        <v>42374</v>
      </c>
      <c r="G298" s="107">
        <v>0</v>
      </c>
      <c r="H298" s="23">
        <f t="shared" si="5"/>
        <v>0.75000884987079186</v>
      </c>
    </row>
    <row r="299" spans="1:12" ht="19.5" customHeight="1">
      <c r="A299" s="20"/>
      <c r="B299" s="34"/>
      <c r="C299" s="31" t="s">
        <v>180</v>
      </c>
      <c r="D299" s="32" t="s">
        <v>160</v>
      </c>
      <c r="E299" s="107">
        <v>600000</v>
      </c>
      <c r="F299" s="107">
        <v>30</v>
      </c>
      <c r="G299" s="107">
        <v>0</v>
      </c>
      <c r="H299" s="23">
        <f t="shared" si="5"/>
        <v>5.0000000000000002E-5</v>
      </c>
    </row>
    <row r="300" spans="1:12">
      <c r="A300" s="8">
        <v>851</v>
      </c>
      <c r="B300" s="9"/>
      <c r="C300" s="38"/>
      <c r="D300" s="10" t="s">
        <v>245</v>
      </c>
      <c r="E300" s="11">
        <f>SUM(E301+E306+E310+E323)</f>
        <v>2111285</v>
      </c>
      <c r="F300" s="11">
        <f>SUM(F301+F306+F310+F323)</f>
        <v>83689.61</v>
      </c>
      <c r="G300" s="11">
        <f>SUM(G301+G306+G310+G323)</f>
        <v>110655.76999999999</v>
      </c>
      <c r="H300" s="29">
        <f t="shared" si="5"/>
        <v>3.9639181825286494E-2</v>
      </c>
    </row>
    <row r="301" spans="1:12">
      <c r="A301" s="13"/>
      <c r="B301" s="123">
        <v>85121</v>
      </c>
      <c r="C301" s="39"/>
      <c r="D301" s="15" t="s">
        <v>49</v>
      </c>
      <c r="E301" s="16">
        <f>SUM(E302:E305)</f>
        <v>2000000</v>
      </c>
      <c r="F301" s="16">
        <f>SUM(F302:F305)</f>
        <v>33138.1</v>
      </c>
      <c r="G301" s="16">
        <f>SUM(G302:G305)</f>
        <v>95230</v>
      </c>
      <c r="H301" s="17">
        <f t="shared" si="5"/>
        <v>1.6569049999999998E-2</v>
      </c>
      <c r="K301" s="6">
        <f>F300-F301-F324</f>
        <v>50551.51</v>
      </c>
    </row>
    <row r="302" spans="1:12" ht="15.75" customHeight="1">
      <c r="A302" s="43"/>
      <c r="B302" s="34"/>
      <c r="C302" s="31" t="s">
        <v>180</v>
      </c>
      <c r="D302" s="32" t="s">
        <v>160</v>
      </c>
      <c r="E302" s="107">
        <v>260504.2</v>
      </c>
      <c r="F302" s="107">
        <v>3371.1</v>
      </c>
      <c r="G302" s="107">
        <v>0</v>
      </c>
      <c r="H302" s="23">
        <f t="shared" si="5"/>
        <v>1.2940674277036608E-2</v>
      </c>
      <c r="K302" s="6">
        <f>L311</f>
        <v>20007.73</v>
      </c>
    </row>
    <row r="303" spans="1:12" ht="17.25" customHeight="1">
      <c r="A303" s="43"/>
      <c r="B303" s="34"/>
      <c r="C303" s="31" t="s">
        <v>315</v>
      </c>
      <c r="D303" s="32" t="s">
        <v>160</v>
      </c>
      <c r="E303" s="107">
        <v>1170641.26</v>
      </c>
      <c r="F303" s="107">
        <v>20704.77</v>
      </c>
      <c r="G303" s="107">
        <v>0</v>
      </c>
      <c r="H303" s="23">
        <f t="shared" si="5"/>
        <v>1.7686690797144806E-2</v>
      </c>
      <c r="K303" s="6"/>
    </row>
    <row r="304" spans="1:12" ht="18.75" customHeight="1">
      <c r="A304" s="43"/>
      <c r="B304" s="34"/>
      <c r="C304" s="31" t="s">
        <v>314</v>
      </c>
      <c r="D304" s="32" t="s">
        <v>160</v>
      </c>
      <c r="E304" s="107">
        <v>468854.54</v>
      </c>
      <c r="F304" s="107">
        <v>9062.23</v>
      </c>
      <c r="G304" s="107">
        <v>0</v>
      </c>
      <c r="H304" s="23">
        <f t="shared" si="5"/>
        <v>1.9328446728915111E-2</v>
      </c>
      <c r="K304" s="6"/>
    </row>
    <row r="305" spans="1:13" ht="15.75" customHeight="1">
      <c r="A305" s="43"/>
      <c r="B305" s="20"/>
      <c r="C305" s="31" t="s">
        <v>182</v>
      </c>
      <c r="D305" s="32" t="s">
        <v>34</v>
      </c>
      <c r="E305" s="107">
        <v>100000</v>
      </c>
      <c r="F305" s="107">
        <v>0</v>
      </c>
      <c r="G305" s="107">
        <v>95230</v>
      </c>
      <c r="H305" s="23">
        <f t="shared" ref="H305:H393" si="6">F305/E305</f>
        <v>0</v>
      </c>
    </row>
    <row r="306" spans="1:13">
      <c r="A306" s="13"/>
      <c r="B306" s="14">
        <v>85153</v>
      </c>
      <c r="C306" s="39"/>
      <c r="D306" s="15" t="s">
        <v>246</v>
      </c>
      <c r="E306" s="16">
        <f>SUM(E307:E309)</f>
        <v>18015</v>
      </c>
      <c r="F306" s="16">
        <f>SUM(F307:F309)</f>
        <v>4909.8100000000004</v>
      </c>
      <c r="G306" s="16">
        <f>SUM(G307:G309)</f>
        <v>754.98</v>
      </c>
      <c r="H306" s="17">
        <f t="shared" si="6"/>
        <v>0.27254010546766588</v>
      </c>
    </row>
    <row r="307" spans="1:13" s="24" customFormat="1">
      <c r="A307" s="43"/>
      <c r="B307" s="45"/>
      <c r="C307" s="31" t="s">
        <v>173</v>
      </c>
      <c r="D307" s="32" t="s">
        <v>11</v>
      </c>
      <c r="E307" s="107">
        <v>3000</v>
      </c>
      <c r="F307" s="107">
        <v>1897.72</v>
      </c>
      <c r="G307" s="107">
        <v>754.98</v>
      </c>
      <c r="H307" s="23">
        <f t="shared" si="6"/>
        <v>0.63257333333333332</v>
      </c>
      <c r="L307" s="79">
        <f>F307+F308</f>
        <v>1897.72</v>
      </c>
      <c r="M307" s="79"/>
    </row>
    <row r="308" spans="1:13" s="24" customFormat="1" ht="25.5">
      <c r="A308" s="43"/>
      <c r="B308" s="45"/>
      <c r="C308" s="31" t="s">
        <v>227</v>
      </c>
      <c r="D308" s="32" t="s">
        <v>228</v>
      </c>
      <c r="E308" s="107">
        <v>4000</v>
      </c>
      <c r="F308" s="107">
        <v>0</v>
      </c>
      <c r="G308" s="107">
        <v>0</v>
      </c>
      <c r="H308" s="23">
        <f t="shared" si="6"/>
        <v>0</v>
      </c>
      <c r="L308" s="79"/>
      <c r="M308" s="79"/>
    </row>
    <row r="309" spans="1:13">
      <c r="A309" s="43"/>
      <c r="B309" s="20"/>
      <c r="C309" s="31" t="s">
        <v>174</v>
      </c>
      <c r="D309" s="32" t="s">
        <v>13</v>
      </c>
      <c r="E309" s="107">
        <v>11015</v>
      </c>
      <c r="F309" s="107">
        <v>3012.09</v>
      </c>
      <c r="G309" s="107">
        <v>0</v>
      </c>
      <c r="H309" s="23">
        <f t="shared" si="6"/>
        <v>0.27345347253744895</v>
      </c>
    </row>
    <row r="310" spans="1:13">
      <c r="A310" s="14"/>
      <c r="B310" s="123">
        <v>85154</v>
      </c>
      <c r="C310" s="39"/>
      <c r="D310" s="15" t="s">
        <v>50</v>
      </c>
      <c r="E310" s="16">
        <f>SUM(E311:E322)</f>
        <v>93270</v>
      </c>
      <c r="F310" s="16">
        <f>SUM(F311:F322)</f>
        <v>45641.700000000004</v>
      </c>
      <c r="G310" s="16">
        <f>SUM(G311:G322)</f>
        <v>14670.79</v>
      </c>
      <c r="H310" s="17">
        <f t="shared" si="6"/>
        <v>0.48935027339980708</v>
      </c>
    </row>
    <row r="311" spans="1:13" s="24" customFormat="1">
      <c r="A311" s="20"/>
      <c r="B311" s="34"/>
      <c r="C311" s="31" t="s">
        <v>197</v>
      </c>
      <c r="D311" s="32" t="s">
        <v>184</v>
      </c>
      <c r="E311" s="107">
        <v>11000</v>
      </c>
      <c r="F311" s="107">
        <v>5913.15</v>
      </c>
      <c r="G311" s="107">
        <v>206.28</v>
      </c>
      <c r="H311" s="23">
        <f t="shared" si="6"/>
        <v>0.53755909090909093</v>
      </c>
      <c r="L311" s="79">
        <f>F311+F312+F313+F314</f>
        <v>20007.73</v>
      </c>
      <c r="M311" s="79"/>
    </row>
    <row r="312" spans="1:13">
      <c r="A312" s="20"/>
      <c r="B312" s="20"/>
      <c r="C312" s="31" t="s">
        <v>170</v>
      </c>
      <c r="D312" s="32" t="s">
        <v>45</v>
      </c>
      <c r="E312" s="107">
        <v>3250</v>
      </c>
      <c r="F312" s="107">
        <v>1736.27</v>
      </c>
      <c r="G312" s="107">
        <v>311.14999999999998</v>
      </c>
      <c r="H312" s="23">
        <f t="shared" si="6"/>
        <v>0.53423692307692305</v>
      </c>
    </row>
    <row r="313" spans="1:13">
      <c r="A313" s="20"/>
      <c r="B313" s="20"/>
      <c r="C313" s="31" t="s">
        <v>171</v>
      </c>
      <c r="D313" s="32" t="s">
        <v>163</v>
      </c>
      <c r="E313" s="107">
        <v>600</v>
      </c>
      <c r="F313" s="107">
        <v>278.25</v>
      </c>
      <c r="G313" s="107">
        <v>50.19</v>
      </c>
      <c r="H313" s="23">
        <f t="shared" si="6"/>
        <v>0.46375</v>
      </c>
      <c r="L313" s="80">
        <f>F311+F312+F313+F314</f>
        <v>20007.73</v>
      </c>
    </row>
    <row r="314" spans="1:13">
      <c r="A314" s="20"/>
      <c r="B314" s="20"/>
      <c r="C314" s="31" t="s">
        <v>172</v>
      </c>
      <c r="D314" s="32" t="s">
        <v>164</v>
      </c>
      <c r="E314" s="107">
        <v>18600</v>
      </c>
      <c r="F314" s="107">
        <v>12080.06</v>
      </c>
      <c r="G314" s="107">
        <v>583.16999999999996</v>
      </c>
      <c r="H314" s="23">
        <f t="shared" si="6"/>
        <v>0.64946559139784943</v>
      </c>
    </row>
    <row r="315" spans="1:13">
      <c r="A315" s="20"/>
      <c r="B315" s="20"/>
      <c r="C315" s="31" t="s">
        <v>173</v>
      </c>
      <c r="D315" s="32" t="s">
        <v>11</v>
      </c>
      <c r="E315" s="107">
        <v>6000</v>
      </c>
      <c r="F315" s="107">
        <v>5605.75</v>
      </c>
      <c r="G315" s="107">
        <v>0</v>
      </c>
      <c r="H315" s="23">
        <f t="shared" si="6"/>
        <v>0.93429166666666663</v>
      </c>
    </row>
    <row r="316" spans="1:13" ht="25.5">
      <c r="A316" s="20"/>
      <c r="B316" s="20"/>
      <c r="C316" s="31" t="s">
        <v>227</v>
      </c>
      <c r="D316" s="32" t="s">
        <v>228</v>
      </c>
      <c r="E316" s="107">
        <v>4000</v>
      </c>
      <c r="F316" s="107">
        <v>0</v>
      </c>
      <c r="G316" s="107">
        <v>0</v>
      </c>
      <c r="H316" s="23">
        <f t="shared" si="6"/>
        <v>0</v>
      </c>
    </row>
    <row r="317" spans="1:13">
      <c r="A317" s="20"/>
      <c r="B317" s="20"/>
      <c r="C317" s="31" t="s">
        <v>174</v>
      </c>
      <c r="D317" s="32" t="s">
        <v>13</v>
      </c>
      <c r="E317" s="107">
        <v>46570</v>
      </c>
      <c r="F317" s="107">
        <v>19642.900000000001</v>
      </c>
      <c r="G317" s="107">
        <v>13520</v>
      </c>
      <c r="H317" s="23">
        <f t="shared" si="6"/>
        <v>0.42179299978526952</v>
      </c>
    </row>
    <row r="318" spans="1:13" ht="25.5">
      <c r="A318" s="20"/>
      <c r="B318" s="20"/>
      <c r="C318" s="31" t="s">
        <v>203</v>
      </c>
      <c r="D318" s="32" t="s">
        <v>204</v>
      </c>
      <c r="E318" s="107">
        <v>1000</v>
      </c>
      <c r="F318" s="107">
        <v>385.32</v>
      </c>
      <c r="G318" s="107">
        <v>0</v>
      </c>
      <c r="H318" s="23">
        <f t="shared" si="6"/>
        <v>0.38532</v>
      </c>
    </row>
    <row r="319" spans="1:13">
      <c r="A319" s="20"/>
      <c r="B319" s="20"/>
      <c r="C319" s="31" t="s">
        <v>175</v>
      </c>
      <c r="D319" s="32" t="s">
        <v>25</v>
      </c>
      <c r="E319" s="107">
        <v>600</v>
      </c>
      <c r="F319" s="107">
        <v>0</v>
      </c>
      <c r="G319" s="107">
        <v>0</v>
      </c>
      <c r="H319" s="23">
        <f t="shared" si="6"/>
        <v>0</v>
      </c>
    </row>
    <row r="320" spans="1:13">
      <c r="A320" s="20"/>
      <c r="B320" s="20"/>
      <c r="C320" s="31" t="s">
        <v>176</v>
      </c>
      <c r="D320" s="32" t="s">
        <v>26</v>
      </c>
      <c r="E320" s="107">
        <v>300</v>
      </c>
      <c r="F320" s="107">
        <v>0</v>
      </c>
      <c r="G320" s="107">
        <v>0</v>
      </c>
      <c r="H320" s="23">
        <f t="shared" si="6"/>
        <v>0</v>
      </c>
    </row>
    <row r="321" spans="1:13" ht="14.25" customHeight="1">
      <c r="A321" s="20"/>
      <c r="B321" s="20"/>
      <c r="C321" s="31" t="s">
        <v>193</v>
      </c>
      <c r="D321" s="32" t="s">
        <v>189</v>
      </c>
      <c r="E321" s="107">
        <v>1100</v>
      </c>
      <c r="F321" s="107">
        <v>0</v>
      </c>
      <c r="G321" s="107">
        <v>0</v>
      </c>
      <c r="H321" s="23">
        <f t="shared" si="6"/>
        <v>0</v>
      </c>
    </row>
    <row r="322" spans="1:13" ht="14.25" customHeight="1">
      <c r="A322" s="20"/>
      <c r="B322" s="20"/>
      <c r="C322" s="31" t="s">
        <v>194</v>
      </c>
      <c r="D322" s="32" t="s">
        <v>190</v>
      </c>
      <c r="E322" s="107">
        <v>250</v>
      </c>
      <c r="F322" s="107">
        <v>0</v>
      </c>
      <c r="G322" s="107">
        <v>0</v>
      </c>
      <c r="H322" s="23">
        <f t="shared" si="6"/>
        <v>0</v>
      </c>
    </row>
    <row r="323" spans="1:13" s="18" customFormat="1" hidden="1">
      <c r="A323" s="14"/>
      <c r="B323" s="14">
        <v>85195</v>
      </c>
      <c r="C323" s="39"/>
      <c r="D323" s="15" t="s">
        <v>17</v>
      </c>
      <c r="E323" s="84">
        <f>E324</f>
        <v>0</v>
      </c>
      <c r="F323" s="84">
        <f>F324</f>
        <v>0</v>
      </c>
      <c r="G323" s="84">
        <f>G324</f>
        <v>0</v>
      </c>
      <c r="H323" s="17" t="e">
        <f t="shared" si="6"/>
        <v>#DIV/0!</v>
      </c>
      <c r="L323" s="127"/>
      <c r="M323" s="127"/>
    </row>
    <row r="324" spans="1:13" ht="53.25" hidden="1" customHeight="1">
      <c r="A324" s="20"/>
      <c r="B324" s="20"/>
      <c r="C324" s="31" t="s">
        <v>247</v>
      </c>
      <c r="D324" s="32" t="s">
        <v>248</v>
      </c>
      <c r="E324" s="107"/>
      <c r="F324" s="107"/>
      <c r="G324" s="107"/>
      <c r="H324" s="23" t="e">
        <f t="shared" si="6"/>
        <v>#DIV/0!</v>
      </c>
    </row>
    <row r="325" spans="1:13">
      <c r="A325" s="8">
        <v>852</v>
      </c>
      <c r="B325" s="9"/>
      <c r="C325" s="38"/>
      <c r="D325" s="10" t="s">
        <v>249</v>
      </c>
      <c r="E325" s="11">
        <f>SUM(E330+E346+E348+E351+E353+E397+E409+E407+E326+E328)</f>
        <v>6579565.25</v>
      </c>
      <c r="F325" s="11">
        <f>SUM(F330+F346+F348+F351+F353+F397+F409+F407+F326+F328)</f>
        <v>2147455.8800000004</v>
      </c>
      <c r="G325" s="11">
        <f>SUM(G330+G346+G348+G351+G353+G397+G409+G407+G326+G328)</f>
        <v>28049.55</v>
      </c>
      <c r="H325" s="29">
        <f t="shared" si="6"/>
        <v>0.32638264055516442</v>
      </c>
    </row>
    <row r="326" spans="1:13" s="18" customFormat="1">
      <c r="A326" s="13"/>
      <c r="B326" s="14">
        <v>85202</v>
      </c>
      <c r="C326" s="39"/>
      <c r="D326" s="15" t="s">
        <v>250</v>
      </c>
      <c r="E326" s="16">
        <f>E327</f>
        <v>75800</v>
      </c>
      <c r="F326" s="16">
        <f>F327</f>
        <v>37174.97</v>
      </c>
      <c r="G326" s="16">
        <f>G327</f>
        <v>0</v>
      </c>
      <c r="H326" s="17">
        <f>F326/E326</f>
        <v>0.49043496042216361</v>
      </c>
      <c r="L326" s="127"/>
      <c r="M326" s="127"/>
    </row>
    <row r="327" spans="1:13" ht="38.25">
      <c r="A327" s="43"/>
      <c r="B327" s="20"/>
      <c r="C327" s="31" t="s">
        <v>251</v>
      </c>
      <c r="D327" s="32" t="s">
        <v>252</v>
      </c>
      <c r="E327" s="107">
        <v>75800</v>
      </c>
      <c r="F327" s="107">
        <v>37174.97</v>
      </c>
      <c r="G327" s="107">
        <v>0</v>
      </c>
      <c r="H327" s="23">
        <f>F327/E327</f>
        <v>0.49043496042216361</v>
      </c>
      <c r="L327" s="80" t="e">
        <f>F325-#REF!-F396</f>
        <v>#REF!</v>
      </c>
    </row>
    <row r="328" spans="1:13" hidden="1">
      <c r="A328" s="13"/>
      <c r="B328" s="14">
        <v>85203</v>
      </c>
      <c r="C328" s="39"/>
      <c r="D328" s="15" t="s">
        <v>253</v>
      </c>
      <c r="E328" s="84">
        <f>E329</f>
        <v>0</v>
      </c>
      <c r="F328" s="84">
        <f>F329</f>
        <v>0</v>
      </c>
      <c r="G328" s="84">
        <f>G329</f>
        <v>0</v>
      </c>
      <c r="H328" s="17" t="e">
        <f>F328/E328</f>
        <v>#DIV/0!</v>
      </c>
    </row>
    <row r="329" spans="1:13" ht="51" hidden="1">
      <c r="A329" s="43"/>
      <c r="B329" s="20"/>
      <c r="C329" s="31" t="s">
        <v>168</v>
      </c>
      <c r="D329" s="32" t="s">
        <v>166</v>
      </c>
      <c r="E329" s="107">
        <v>0</v>
      </c>
      <c r="F329" s="107">
        <v>0</v>
      </c>
      <c r="G329" s="107">
        <v>0</v>
      </c>
      <c r="H329" s="23" t="e">
        <f>F329/E329</f>
        <v>#DIV/0!</v>
      </c>
    </row>
    <row r="330" spans="1:13" ht="41.25" customHeight="1">
      <c r="A330" s="13"/>
      <c r="B330" s="123">
        <v>85212</v>
      </c>
      <c r="C330" s="39"/>
      <c r="D330" s="15" t="s">
        <v>254</v>
      </c>
      <c r="E330" s="16">
        <f>SUM(E331:E345)</f>
        <v>2702000</v>
      </c>
      <c r="F330" s="16">
        <f>SUM(F331:F345)</f>
        <v>1151840.6499999999</v>
      </c>
      <c r="G330" s="16">
        <f>SUM(G331:G345)</f>
        <v>3186.45</v>
      </c>
      <c r="H330" s="17">
        <f t="shared" si="6"/>
        <v>0.42629187638786081</v>
      </c>
    </row>
    <row r="331" spans="1:13">
      <c r="A331" s="43"/>
      <c r="B331" s="34"/>
      <c r="C331" s="31" t="s">
        <v>255</v>
      </c>
      <c r="D331" s="32" t="s">
        <v>51</v>
      </c>
      <c r="E331" s="107">
        <v>2623510</v>
      </c>
      <c r="F331" s="107">
        <v>1115261.3</v>
      </c>
      <c r="G331" s="107">
        <v>1714.88</v>
      </c>
      <c r="H331" s="23">
        <f t="shared" si="6"/>
        <v>0.42510274403375631</v>
      </c>
      <c r="L331" s="80">
        <f>F332+F333+F334+F335</f>
        <v>27945.93</v>
      </c>
      <c r="M331" s="80">
        <f>L331/F330</f>
        <v>2.4261975821047818E-2</v>
      </c>
    </row>
    <row r="332" spans="1:13">
      <c r="A332" s="43"/>
      <c r="B332" s="34"/>
      <c r="C332" s="31" t="s">
        <v>197</v>
      </c>
      <c r="D332" s="32" t="s">
        <v>184</v>
      </c>
      <c r="E332" s="107">
        <v>47424</v>
      </c>
      <c r="F332" s="107">
        <v>20632.150000000001</v>
      </c>
      <c r="G332" s="107">
        <v>894.35</v>
      </c>
      <c r="H332" s="23">
        <f t="shared" si="6"/>
        <v>0.43505714406207829</v>
      </c>
      <c r="L332" s="80">
        <f>F331/F330</f>
        <v>0.96824269919628214</v>
      </c>
    </row>
    <row r="333" spans="1:13">
      <c r="A333" s="43"/>
      <c r="B333" s="34"/>
      <c r="C333" s="31" t="s">
        <v>198</v>
      </c>
      <c r="D333" s="32" t="s">
        <v>185</v>
      </c>
      <c r="E333" s="107">
        <v>3560</v>
      </c>
      <c r="F333" s="107">
        <v>3482.46</v>
      </c>
      <c r="G333" s="107">
        <v>0</v>
      </c>
      <c r="H333" s="23">
        <f t="shared" si="6"/>
        <v>0.97821910112359556</v>
      </c>
    </row>
    <row r="334" spans="1:13">
      <c r="A334" s="43"/>
      <c r="B334" s="34"/>
      <c r="C334" s="31" t="s">
        <v>170</v>
      </c>
      <c r="D334" s="32" t="s">
        <v>45</v>
      </c>
      <c r="E334" s="107">
        <v>8040</v>
      </c>
      <c r="F334" s="107">
        <v>3314.99</v>
      </c>
      <c r="G334" s="107">
        <v>497.5</v>
      </c>
      <c r="H334" s="23">
        <f t="shared" si="6"/>
        <v>0.41231218905472633</v>
      </c>
    </row>
    <row r="335" spans="1:13">
      <c r="A335" s="43"/>
      <c r="B335" s="34"/>
      <c r="C335" s="31" t="s">
        <v>171</v>
      </c>
      <c r="D335" s="32" t="s">
        <v>163</v>
      </c>
      <c r="E335" s="107">
        <v>1252</v>
      </c>
      <c r="F335" s="107">
        <v>516.33000000000004</v>
      </c>
      <c r="G335" s="107">
        <v>79.72</v>
      </c>
      <c r="H335" s="23">
        <f t="shared" si="6"/>
        <v>0.4124041533546326</v>
      </c>
      <c r="L335" s="80" t="e">
        <f>F330-F331-#REF!</f>
        <v>#REF!</v>
      </c>
    </row>
    <row r="336" spans="1:13">
      <c r="A336" s="43"/>
      <c r="B336" s="34"/>
      <c r="C336" s="31" t="s">
        <v>173</v>
      </c>
      <c r="D336" s="32" t="s">
        <v>11</v>
      </c>
      <c r="E336" s="107">
        <v>2000</v>
      </c>
      <c r="F336" s="107">
        <v>695.51</v>
      </c>
      <c r="G336" s="107">
        <v>0</v>
      </c>
      <c r="H336" s="23">
        <f t="shared" si="6"/>
        <v>0.34775499999999998</v>
      </c>
      <c r="L336" s="80" t="e">
        <f>L335-L331</f>
        <v>#REF!</v>
      </c>
      <c r="M336" s="129" t="e">
        <f>L336/F330</f>
        <v>#REF!</v>
      </c>
    </row>
    <row r="337" spans="1:13">
      <c r="A337" s="43"/>
      <c r="B337" s="34"/>
      <c r="C337" s="135">
        <v>4260</v>
      </c>
      <c r="D337" s="139" t="s">
        <v>24</v>
      </c>
      <c r="E337" s="107">
        <v>2790</v>
      </c>
      <c r="F337" s="107">
        <v>0</v>
      </c>
      <c r="G337" s="107">
        <v>0</v>
      </c>
      <c r="H337" s="23"/>
      <c r="M337" s="129"/>
    </row>
    <row r="338" spans="1:13">
      <c r="A338" s="43"/>
      <c r="B338" s="34"/>
      <c r="C338" s="135">
        <v>4270</v>
      </c>
      <c r="D338" s="139" t="s">
        <v>56</v>
      </c>
      <c r="E338" s="107">
        <v>1000</v>
      </c>
      <c r="F338" s="107">
        <v>0</v>
      </c>
      <c r="G338" s="107">
        <v>0</v>
      </c>
      <c r="H338" s="23"/>
      <c r="M338" s="129"/>
    </row>
    <row r="339" spans="1:13">
      <c r="A339" s="43"/>
      <c r="B339" s="34"/>
      <c r="C339" s="135">
        <v>4280</v>
      </c>
      <c r="D339" s="139" t="s">
        <v>37</v>
      </c>
      <c r="E339" s="107">
        <v>500</v>
      </c>
      <c r="F339" s="107">
        <v>0</v>
      </c>
      <c r="G339" s="107">
        <v>0</v>
      </c>
      <c r="H339" s="23"/>
      <c r="M339" s="129"/>
    </row>
    <row r="340" spans="1:13">
      <c r="A340" s="43"/>
      <c r="B340" s="34"/>
      <c r="C340" s="31" t="s">
        <v>174</v>
      </c>
      <c r="D340" s="32" t="s">
        <v>13</v>
      </c>
      <c r="E340" s="107">
        <v>6224</v>
      </c>
      <c r="F340" s="107">
        <v>5356.26</v>
      </c>
      <c r="G340" s="107">
        <v>0</v>
      </c>
      <c r="H340" s="23">
        <f t="shared" si="6"/>
        <v>0.86058161953727508</v>
      </c>
    </row>
    <row r="341" spans="1:13">
      <c r="A341" s="43"/>
      <c r="B341" s="34"/>
      <c r="C341" s="31" t="s">
        <v>175</v>
      </c>
      <c r="D341" s="32" t="s">
        <v>25</v>
      </c>
      <c r="E341" s="107">
        <v>300</v>
      </c>
      <c r="F341" s="107">
        <v>101.65</v>
      </c>
      <c r="G341" s="107">
        <v>0</v>
      </c>
      <c r="H341" s="23">
        <f t="shared" si="6"/>
        <v>0.33883333333333338</v>
      </c>
    </row>
    <row r="342" spans="1:13" ht="25.5">
      <c r="A342" s="43"/>
      <c r="B342" s="20"/>
      <c r="C342" s="31" t="s">
        <v>206</v>
      </c>
      <c r="D342" s="32" t="s">
        <v>207</v>
      </c>
      <c r="E342" s="107">
        <v>1900</v>
      </c>
      <c r="F342" s="107">
        <v>1500</v>
      </c>
      <c r="G342" s="107">
        <v>0</v>
      </c>
      <c r="H342" s="23">
        <f t="shared" si="6"/>
        <v>0.78947368421052633</v>
      </c>
    </row>
    <row r="343" spans="1:13" ht="25.5">
      <c r="A343" s="43"/>
      <c r="B343" s="34"/>
      <c r="C343" s="31" t="s">
        <v>193</v>
      </c>
      <c r="D343" s="32" t="s">
        <v>189</v>
      </c>
      <c r="E343" s="107">
        <v>1500</v>
      </c>
      <c r="F343" s="107">
        <v>250</v>
      </c>
      <c r="G343" s="107">
        <v>0</v>
      </c>
      <c r="H343" s="23">
        <f t="shared" si="6"/>
        <v>0.16666666666666666</v>
      </c>
    </row>
    <row r="344" spans="1:13" ht="25.5">
      <c r="A344" s="43"/>
      <c r="B344" s="34"/>
      <c r="C344" s="31" t="s">
        <v>194</v>
      </c>
      <c r="D344" s="32" t="s">
        <v>190</v>
      </c>
      <c r="E344" s="107">
        <v>1000</v>
      </c>
      <c r="F344" s="107">
        <v>0</v>
      </c>
      <c r="G344" s="107">
        <v>0</v>
      </c>
      <c r="H344" s="23">
        <f t="shared" si="6"/>
        <v>0</v>
      </c>
    </row>
    <row r="345" spans="1:13" ht="25.5">
      <c r="A345" s="43"/>
      <c r="B345" s="34"/>
      <c r="C345" s="31" t="s">
        <v>208</v>
      </c>
      <c r="D345" s="32" t="s">
        <v>186</v>
      </c>
      <c r="E345" s="107">
        <v>1000</v>
      </c>
      <c r="F345" s="107">
        <v>730</v>
      </c>
      <c r="G345" s="107">
        <v>0</v>
      </c>
      <c r="H345" s="23">
        <f t="shared" si="6"/>
        <v>0.73</v>
      </c>
    </row>
    <row r="346" spans="1:13" ht="57" customHeight="1">
      <c r="A346" s="13"/>
      <c r="B346" s="123">
        <v>85213</v>
      </c>
      <c r="C346" s="39"/>
      <c r="D346" s="15" t="s">
        <v>256</v>
      </c>
      <c r="E346" s="16">
        <f>SUM(E347:E347)</f>
        <v>20000</v>
      </c>
      <c r="F346" s="16">
        <f>SUM(F347:F347)</f>
        <v>9402.06</v>
      </c>
      <c r="G346" s="16">
        <f>SUM(G347:G347)</f>
        <v>1769.94</v>
      </c>
      <c r="H346" s="17">
        <f t="shared" si="6"/>
        <v>0.47010299999999999</v>
      </c>
    </row>
    <row r="347" spans="1:13" ht="18.75" customHeight="1">
      <c r="A347" s="40"/>
      <c r="B347" s="34"/>
      <c r="C347" s="31" t="s">
        <v>257</v>
      </c>
      <c r="D347" s="32" t="s">
        <v>258</v>
      </c>
      <c r="E347" s="107">
        <v>20000</v>
      </c>
      <c r="F347" s="107">
        <v>9402.06</v>
      </c>
      <c r="G347" s="107">
        <v>1769.94</v>
      </c>
      <c r="H347" s="23">
        <f t="shared" si="6"/>
        <v>0.47010299999999999</v>
      </c>
    </row>
    <row r="348" spans="1:13" ht="25.5">
      <c r="A348" s="13"/>
      <c r="B348" s="14">
        <v>85214</v>
      </c>
      <c r="C348" s="39"/>
      <c r="D348" s="15" t="s">
        <v>259</v>
      </c>
      <c r="E348" s="16">
        <f>SUM(E349:E350)</f>
        <v>567682</v>
      </c>
      <c r="F348" s="16">
        <f>SUM(F349:F350)</f>
        <v>267458.77999999997</v>
      </c>
      <c r="G348" s="16">
        <f>SUM(G349:G350)</f>
        <v>0</v>
      </c>
      <c r="H348" s="17">
        <f t="shared" si="6"/>
        <v>0.47114190691267288</v>
      </c>
    </row>
    <row r="349" spans="1:13">
      <c r="A349" s="40"/>
      <c r="B349" s="34"/>
      <c r="C349" s="31" t="s">
        <v>255</v>
      </c>
      <c r="D349" s="32" t="s">
        <v>51</v>
      </c>
      <c r="E349" s="107">
        <v>563682</v>
      </c>
      <c r="F349" s="107">
        <v>265696.67</v>
      </c>
      <c r="G349" s="107">
        <v>0</v>
      </c>
      <c r="H349" s="23">
        <f t="shared" si="6"/>
        <v>0.47135915285568813</v>
      </c>
    </row>
    <row r="350" spans="1:13">
      <c r="A350" s="40"/>
      <c r="B350" s="34"/>
      <c r="C350" s="31" t="s">
        <v>174</v>
      </c>
      <c r="D350" s="32" t="s">
        <v>13</v>
      </c>
      <c r="E350" s="107">
        <v>4000</v>
      </c>
      <c r="F350" s="107">
        <v>1762.11</v>
      </c>
      <c r="G350" s="107">
        <v>0</v>
      </c>
      <c r="H350" s="23"/>
    </row>
    <row r="351" spans="1:13">
      <c r="A351" s="13"/>
      <c r="B351" s="123">
        <v>85215</v>
      </c>
      <c r="C351" s="39"/>
      <c r="D351" s="15" t="s">
        <v>46</v>
      </c>
      <c r="E351" s="16">
        <f>E352</f>
        <v>110000</v>
      </c>
      <c r="F351" s="16">
        <f>F352</f>
        <v>51507.29</v>
      </c>
      <c r="G351" s="16">
        <f>G352</f>
        <v>0</v>
      </c>
      <c r="H351" s="17">
        <f t="shared" si="6"/>
        <v>0.46824809090909092</v>
      </c>
    </row>
    <row r="352" spans="1:13">
      <c r="A352" s="85"/>
      <c r="B352" s="34"/>
      <c r="C352" s="31" t="s">
        <v>255</v>
      </c>
      <c r="D352" s="32" t="s">
        <v>51</v>
      </c>
      <c r="E352" s="107">
        <v>110000</v>
      </c>
      <c r="F352" s="107">
        <v>51507.29</v>
      </c>
      <c r="G352" s="107">
        <v>0</v>
      </c>
      <c r="H352" s="23">
        <f t="shared" si="6"/>
        <v>0.46824809090909092</v>
      </c>
    </row>
    <row r="353" spans="1:13">
      <c r="A353" s="14"/>
      <c r="B353" s="123">
        <v>85219</v>
      </c>
      <c r="C353" s="39"/>
      <c r="D353" s="15" t="s">
        <v>52</v>
      </c>
      <c r="E353" s="16">
        <f>SUM(E354:E396)</f>
        <v>2198120.25</v>
      </c>
      <c r="F353" s="16">
        <f>SUM(F354:F396)</f>
        <v>238256.90999999997</v>
      </c>
      <c r="G353" s="16">
        <f>SUM(G354:G396)</f>
        <v>8709.82</v>
      </c>
      <c r="H353" s="17">
        <f t="shared" si="6"/>
        <v>0.10839120835177238</v>
      </c>
    </row>
    <row r="354" spans="1:13" s="24" customFormat="1" ht="25.5">
      <c r="A354" s="85"/>
      <c r="B354" s="34"/>
      <c r="C354" s="31" t="s">
        <v>195</v>
      </c>
      <c r="D354" s="32" t="s">
        <v>196</v>
      </c>
      <c r="E354" s="107">
        <v>3500</v>
      </c>
      <c r="F354" s="107">
        <v>2862.79</v>
      </c>
      <c r="G354" s="107">
        <v>0</v>
      </c>
      <c r="H354" s="23">
        <f t="shared" si="6"/>
        <v>0.81794</v>
      </c>
      <c r="L354" s="79"/>
      <c r="M354" s="79"/>
    </row>
    <row r="355" spans="1:13">
      <c r="A355" s="20"/>
      <c r="B355" s="34"/>
      <c r="C355" s="31" t="s">
        <v>260</v>
      </c>
      <c r="D355" s="32" t="s">
        <v>51</v>
      </c>
      <c r="E355" s="107">
        <v>18000</v>
      </c>
      <c r="F355" s="107">
        <v>2119.16</v>
      </c>
      <c r="G355" s="107">
        <v>0</v>
      </c>
      <c r="H355" s="23">
        <f t="shared" si="6"/>
        <v>0.11773111111111111</v>
      </c>
      <c r="L355" s="80">
        <f>F353</f>
        <v>238256.90999999997</v>
      </c>
    </row>
    <row r="356" spans="1:13">
      <c r="A356" s="20"/>
      <c r="B356" s="34"/>
      <c r="C356" s="31" t="s">
        <v>197</v>
      </c>
      <c r="D356" s="32" t="s">
        <v>184</v>
      </c>
      <c r="E356" s="107">
        <v>300160</v>
      </c>
      <c r="F356" s="107">
        <v>112215.6</v>
      </c>
      <c r="G356" s="107">
        <v>5270.65</v>
      </c>
      <c r="H356" s="23">
        <f t="shared" si="6"/>
        <v>0.37385261194029851</v>
      </c>
      <c r="L356" s="80">
        <f>L398+F399+F400+F401+F403</f>
        <v>77130.929999999993</v>
      </c>
    </row>
    <row r="357" spans="1:13">
      <c r="A357" s="20"/>
      <c r="B357" s="34"/>
      <c r="C357" s="31" t="s">
        <v>261</v>
      </c>
      <c r="D357" s="32" t="s">
        <v>184</v>
      </c>
      <c r="E357" s="107">
        <v>16127</v>
      </c>
      <c r="F357" s="107">
        <v>0</v>
      </c>
      <c r="G357" s="107">
        <v>0</v>
      </c>
      <c r="H357" s="23">
        <f t="shared" si="6"/>
        <v>0</v>
      </c>
      <c r="L357" s="80">
        <f>F356+F357+F358+F359+F360+F361+F362+F363+F364+F365+F368+F369+F370</f>
        <v>157854.89000000001</v>
      </c>
    </row>
    <row r="358" spans="1:13">
      <c r="A358" s="20"/>
      <c r="B358" s="34"/>
      <c r="C358" s="31" t="s">
        <v>262</v>
      </c>
      <c r="D358" s="32" t="s">
        <v>184</v>
      </c>
      <c r="E358" s="107">
        <v>949</v>
      </c>
      <c r="F358" s="107">
        <v>0</v>
      </c>
      <c r="G358" s="107">
        <v>0</v>
      </c>
      <c r="H358" s="23">
        <f t="shared" si="6"/>
        <v>0</v>
      </c>
    </row>
    <row r="359" spans="1:13">
      <c r="A359" s="20"/>
      <c r="B359" s="34"/>
      <c r="C359" s="31" t="s">
        <v>198</v>
      </c>
      <c r="D359" s="32" t="s">
        <v>185</v>
      </c>
      <c r="E359" s="107">
        <v>19160</v>
      </c>
      <c r="F359" s="107">
        <v>15749.66</v>
      </c>
      <c r="G359" s="107">
        <v>0</v>
      </c>
      <c r="H359" s="23">
        <f t="shared" si="6"/>
        <v>0.82200730688935286</v>
      </c>
    </row>
    <row r="360" spans="1:13">
      <c r="A360" s="20"/>
      <c r="B360" s="34"/>
      <c r="C360" s="31" t="s">
        <v>170</v>
      </c>
      <c r="D360" s="32" t="s">
        <v>45</v>
      </c>
      <c r="E360" s="107">
        <v>49316</v>
      </c>
      <c r="F360" s="107">
        <v>20317.099999999999</v>
      </c>
      <c r="G360" s="107">
        <v>2890.91</v>
      </c>
      <c r="H360" s="23">
        <f t="shared" si="6"/>
        <v>0.41197785708492168</v>
      </c>
    </row>
    <row r="361" spans="1:13">
      <c r="A361" s="20"/>
      <c r="B361" s="34"/>
      <c r="C361" s="31" t="s">
        <v>231</v>
      </c>
      <c r="D361" s="32" t="s">
        <v>45</v>
      </c>
      <c r="E361" s="107">
        <v>2537</v>
      </c>
      <c r="F361" s="107">
        <v>0</v>
      </c>
      <c r="G361" s="107">
        <v>0</v>
      </c>
      <c r="H361" s="23">
        <f t="shared" si="6"/>
        <v>0</v>
      </c>
    </row>
    <row r="362" spans="1:13">
      <c r="A362" s="20"/>
      <c r="B362" s="34"/>
      <c r="C362" s="31" t="s">
        <v>232</v>
      </c>
      <c r="D362" s="32" t="s">
        <v>45</v>
      </c>
      <c r="E362" s="107">
        <v>147</v>
      </c>
      <c r="F362" s="107">
        <v>0</v>
      </c>
      <c r="G362" s="107">
        <v>0</v>
      </c>
      <c r="H362" s="23">
        <f t="shared" si="6"/>
        <v>0</v>
      </c>
    </row>
    <row r="363" spans="1:13">
      <c r="A363" s="20"/>
      <c r="B363" s="34"/>
      <c r="C363" s="31" t="s">
        <v>171</v>
      </c>
      <c r="D363" s="32" t="s">
        <v>163</v>
      </c>
      <c r="E363" s="107">
        <v>7680</v>
      </c>
      <c r="F363" s="107">
        <v>3164.53</v>
      </c>
      <c r="G363" s="107">
        <v>423.26</v>
      </c>
      <c r="H363" s="23">
        <f t="shared" si="6"/>
        <v>0.41204817708333336</v>
      </c>
    </row>
    <row r="364" spans="1:13">
      <c r="A364" s="20"/>
      <c r="B364" s="34"/>
      <c r="C364" s="31" t="s">
        <v>233</v>
      </c>
      <c r="D364" s="32" t="s">
        <v>163</v>
      </c>
      <c r="E364" s="107">
        <v>396</v>
      </c>
      <c r="F364" s="107">
        <v>0</v>
      </c>
      <c r="G364" s="107">
        <v>0</v>
      </c>
      <c r="H364" s="23">
        <f t="shared" si="6"/>
        <v>0</v>
      </c>
    </row>
    <row r="365" spans="1:13">
      <c r="A365" s="20"/>
      <c r="B365" s="34"/>
      <c r="C365" s="31" t="s">
        <v>234</v>
      </c>
      <c r="D365" s="32" t="s">
        <v>163</v>
      </c>
      <c r="E365" s="107">
        <v>23</v>
      </c>
      <c r="F365" s="107">
        <v>0</v>
      </c>
      <c r="G365" s="107">
        <v>0</v>
      </c>
      <c r="H365" s="23">
        <f t="shared" si="6"/>
        <v>0</v>
      </c>
    </row>
    <row r="366" spans="1:13">
      <c r="A366" s="20"/>
      <c r="B366" s="34"/>
      <c r="C366" s="31" t="s">
        <v>316</v>
      </c>
      <c r="D366" s="32" t="s">
        <v>318</v>
      </c>
      <c r="E366" s="107">
        <v>3170</v>
      </c>
      <c r="F366" s="107">
        <v>0</v>
      </c>
      <c r="G366" s="107">
        <v>0</v>
      </c>
      <c r="H366" s="23">
        <f t="shared" si="6"/>
        <v>0</v>
      </c>
    </row>
    <row r="367" spans="1:13">
      <c r="A367" s="20"/>
      <c r="B367" s="34"/>
      <c r="C367" s="31" t="s">
        <v>317</v>
      </c>
      <c r="D367" s="32" t="s">
        <v>318</v>
      </c>
      <c r="E367" s="107">
        <v>187</v>
      </c>
      <c r="F367" s="107">
        <v>0</v>
      </c>
      <c r="G367" s="107">
        <v>0</v>
      </c>
      <c r="H367" s="23">
        <f t="shared" si="6"/>
        <v>0</v>
      </c>
    </row>
    <row r="368" spans="1:13">
      <c r="A368" s="20"/>
      <c r="B368" s="34"/>
      <c r="C368" s="31" t="s">
        <v>172</v>
      </c>
      <c r="D368" s="32" t="s">
        <v>164</v>
      </c>
      <c r="E368" s="107">
        <v>29560</v>
      </c>
      <c r="F368" s="107">
        <v>6408</v>
      </c>
      <c r="G368" s="107">
        <v>125</v>
      </c>
      <c r="H368" s="23">
        <f t="shared" si="6"/>
        <v>0.21677943166441135</v>
      </c>
    </row>
    <row r="369" spans="1:8">
      <c r="A369" s="20"/>
      <c r="B369" s="34"/>
      <c r="C369" s="31" t="s">
        <v>235</v>
      </c>
      <c r="D369" s="32" t="s">
        <v>164</v>
      </c>
      <c r="E369" s="107">
        <v>2833</v>
      </c>
      <c r="F369" s="107">
        <v>0</v>
      </c>
      <c r="G369" s="107">
        <v>0</v>
      </c>
      <c r="H369" s="23">
        <f t="shared" si="6"/>
        <v>0</v>
      </c>
    </row>
    <row r="370" spans="1:8">
      <c r="A370" s="20"/>
      <c r="B370" s="34"/>
      <c r="C370" s="31" t="s">
        <v>236</v>
      </c>
      <c r="D370" s="32" t="s">
        <v>164</v>
      </c>
      <c r="E370" s="107">
        <v>167</v>
      </c>
      <c r="F370" s="107">
        <v>0</v>
      </c>
      <c r="G370" s="107">
        <v>0</v>
      </c>
      <c r="H370" s="23">
        <f t="shared" si="6"/>
        <v>0</v>
      </c>
    </row>
    <row r="371" spans="1:8">
      <c r="A371" s="20"/>
      <c r="B371" s="34"/>
      <c r="C371" s="31" t="s">
        <v>173</v>
      </c>
      <c r="D371" s="32" t="s">
        <v>11</v>
      </c>
      <c r="E371" s="107">
        <v>30100</v>
      </c>
      <c r="F371" s="107">
        <v>7311.05</v>
      </c>
      <c r="G371" s="107">
        <v>0</v>
      </c>
      <c r="H371" s="23">
        <f t="shared" si="6"/>
        <v>0.2428920265780731</v>
      </c>
    </row>
    <row r="372" spans="1:8">
      <c r="A372" s="20"/>
      <c r="B372" s="34"/>
      <c r="C372" s="31" t="s">
        <v>237</v>
      </c>
      <c r="D372" s="32" t="s">
        <v>11</v>
      </c>
      <c r="E372" s="107">
        <v>9700.25</v>
      </c>
      <c r="F372" s="107">
        <v>1420.02</v>
      </c>
      <c r="G372" s="107">
        <v>0</v>
      </c>
      <c r="H372" s="23">
        <f t="shared" si="6"/>
        <v>0.14639004149377594</v>
      </c>
    </row>
    <row r="373" spans="1:8">
      <c r="A373" s="20"/>
      <c r="B373" s="34"/>
      <c r="C373" s="31" t="s">
        <v>238</v>
      </c>
      <c r="D373" s="32" t="s">
        <v>11</v>
      </c>
      <c r="E373" s="107">
        <v>571</v>
      </c>
      <c r="F373" s="107">
        <v>83.61</v>
      </c>
      <c r="G373" s="107">
        <v>0</v>
      </c>
      <c r="H373" s="23">
        <f t="shared" si="6"/>
        <v>0.14642732049036777</v>
      </c>
    </row>
    <row r="374" spans="1:8">
      <c r="A374" s="20"/>
      <c r="B374" s="34"/>
      <c r="C374" s="135">
        <v>4260</v>
      </c>
      <c r="D374" s="139" t="s">
        <v>24</v>
      </c>
      <c r="E374" s="107">
        <v>10000</v>
      </c>
      <c r="F374" s="107">
        <v>0</v>
      </c>
      <c r="G374" s="107">
        <v>0</v>
      </c>
      <c r="H374" s="23">
        <f t="shared" si="6"/>
        <v>0</v>
      </c>
    </row>
    <row r="375" spans="1:8">
      <c r="A375" s="20"/>
      <c r="B375" s="34"/>
      <c r="C375" s="31" t="s">
        <v>179</v>
      </c>
      <c r="D375" s="32" t="s">
        <v>21</v>
      </c>
      <c r="E375" s="107">
        <v>2000</v>
      </c>
      <c r="F375" s="107">
        <v>148.84</v>
      </c>
      <c r="G375" s="107">
        <v>0</v>
      </c>
      <c r="H375" s="23">
        <f t="shared" si="6"/>
        <v>7.442E-2</v>
      </c>
    </row>
    <row r="376" spans="1:8">
      <c r="A376" s="20"/>
      <c r="B376" s="34"/>
      <c r="C376" s="31" t="s">
        <v>201</v>
      </c>
      <c r="D376" s="32" t="s">
        <v>37</v>
      </c>
      <c r="E376" s="107">
        <v>500</v>
      </c>
      <c r="F376" s="107">
        <v>235</v>
      </c>
      <c r="G376" s="107">
        <v>0</v>
      </c>
      <c r="H376" s="23">
        <f t="shared" si="6"/>
        <v>0.47</v>
      </c>
    </row>
    <row r="377" spans="1:8">
      <c r="A377" s="20"/>
      <c r="B377" s="34"/>
      <c r="C377" s="31" t="s">
        <v>174</v>
      </c>
      <c r="D377" s="32" t="s">
        <v>13</v>
      </c>
      <c r="E377" s="107">
        <v>25000</v>
      </c>
      <c r="F377" s="107">
        <v>18224.53</v>
      </c>
      <c r="G377" s="107">
        <v>0</v>
      </c>
      <c r="H377" s="23">
        <f t="shared" si="6"/>
        <v>0.7289812</v>
      </c>
    </row>
    <row r="378" spans="1:8">
      <c r="A378" s="20"/>
      <c r="B378" s="34"/>
      <c r="C378" s="31" t="s">
        <v>240</v>
      </c>
      <c r="D378" s="32" t="s">
        <v>13</v>
      </c>
      <c r="E378" s="107">
        <v>36227</v>
      </c>
      <c r="F378" s="107">
        <v>26.44</v>
      </c>
      <c r="G378" s="107">
        <v>0</v>
      </c>
      <c r="H378" s="23">
        <f t="shared" si="6"/>
        <v>7.2984238275319521E-4</v>
      </c>
    </row>
    <row r="379" spans="1:8">
      <c r="A379" s="20"/>
      <c r="B379" s="34"/>
      <c r="C379" s="31" t="s">
        <v>241</v>
      </c>
      <c r="D379" s="32" t="s">
        <v>13</v>
      </c>
      <c r="E379" s="107">
        <v>2133</v>
      </c>
      <c r="F379" s="107">
        <v>1.56</v>
      </c>
      <c r="G379" s="107">
        <v>0</v>
      </c>
      <c r="H379" s="23">
        <f t="shared" si="6"/>
        <v>7.3136427566807319E-4</v>
      </c>
    </row>
    <row r="380" spans="1:8">
      <c r="A380" s="20"/>
      <c r="B380" s="34"/>
      <c r="C380" s="31" t="s">
        <v>202</v>
      </c>
      <c r="D380" s="32" t="s">
        <v>33</v>
      </c>
      <c r="E380" s="107">
        <v>2400</v>
      </c>
      <c r="F380" s="107">
        <v>839.4</v>
      </c>
      <c r="G380" s="107">
        <v>0</v>
      </c>
      <c r="H380" s="23">
        <f t="shared" si="6"/>
        <v>0.34975000000000001</v>
      </c>
    </row>
    <row r="381" spans="1:8" ht="25.5">
      <c r="A381" s="20"/>
      <c r="B381" s="34"/>
      <c r="C381" s="31" t="s">
        <v>203</v>
      </c>
      <c r="D381" s="32" t="s">
        <v>204</v>
      </c>
      <c r="E381" s="107">
        <v>8400</v>
      </c>
      <c r="F381" s="107">
        <v>2615.6999999999998</v>
      </c>
      <c r="G381" s="107">
        <v>0</v>
      </c>
      <c r="H381" s="23">
        <f t="shared" si="6"/>
        <v>0.31139285714285714</v>
      </c>
    </row>
    <row r="382" spans="1:8" ht="14.25" customHeight="1">
      <c r="A382" s="20"/>
      <c r="B382" s="34"/>
      <c r="C382" s="31" t="s">
        <v>319</v>
      </c>
      <c r="D382" s="32" t="s">
        <v>321</v>
      </c>
      <c r="E382" s="107">
        <v>2645</v>
      </c>
      <c r="F382" s="107">
        <v>0</v>
      </c>
      <c r="G382" s="107">
        <v>0</v>
      </c>
      <c r="H382" s="23">
        <f t="shared" si="6"/>
        <v>0</v>
      </c>
    </row>
    <row r="383" spans="1:8" ht="25.5">
      <c r="A383" s="20"/>
      <c r="B383" s="34"/>
      <c r="C383" s="31" t="s">
        <v>320</v>
      </c>
      <c r="D383" s="32" t="s">
        <v>321</v>
      </c>
      <c r="E383" s="107">
        <v>156</v>
      </c>
      <c r="F383" s="107">
        <v>0</v>
      </c>
      <c r="G383" s="107">
        <v>0</v>
      </c>
      <c r="H383" s="23">
        <f t="shared" si="6"/>
        <v>0</v>
      </c>
    </row>
    <row r="384" spans="1:8">
      <c r="A384" s="20"/>
      <c r="B384" s="34"/>
      <c r="C384" s="31" t="s">
        <v>175</v>
      </c>
      <c r="D384" s="32" t="s">
        <v>25</v>
      </c>
      <c r="E384" s="107">
        <v>15000</v>
      </c>
      <c r="F384" s="107">
        <v>4982.1400000000003</v>
      </c>
      <c r="G384" s="107">
        <v>0</v>
      </c>
      <c r="H384" s="23">
        <f t="shared" si="6"/>
        <v>0.3321426666666667</v>
      </c>
    </row>
    <row r="385" spans="1:12">
      <c r="A385" s="20"/>
      <c r="B385" s="34"/>
      <c r="C385" s="31" t="s">
        <v>176</v>
      </c>
      <c r="D385" s="32" t="s">
        <v>26</v>
      </c>
      <c r="E385" s="107">
        <v>1000</v>
      </c>
      <c r="F385" s="107">
        <v>60.55</v>
      </c>
      <c r="G385" s="107">
        <v>0</v>
      </c>
      <c r="H385" s="23">
        <f t="shared" si="6"/>
        <v>6.055E-2</v>
      </c>
    </row>
    <row r="386" spans="1:12">
      <c r="A386" s="20"/>
      <c r="B386" s="34"/>
      <c r="C386" s="31" t="s">
        <v>263</v>
      </c>
      <c r="D386" s="32" t="s">
        <v>26</v>
      </c>
      <c r="E386" s="107">
        <v>340</v>
      </c>
      <c r="F386" s="107">
        <v>320.10000000000002</v>
      </c>
      <c r="G386" s="107">
        <v>0</v>
      </c>
      <c r="H386" s="23">
        <f t="shared" si="6"/>
        <v>0.94147058823529417</v>
      </c>
    </row>
    <row r="387" spans="1:12">
      <c r="A387" s="20"/>
      <c r="B387" s="34"/>
      <c r="C387" s="31" t="s">
        <v>264</v>
      </c>
      <c r="D387" s="32" t="s">
        <v>26</v>
      </c>
      <c r="E387" s="107">
        <v>21</v>
      </c>
      <c r="F387" s="107">
        <v>18.899999999999999</v>
      </c>
      <c r="G387" s="107">
        <v>0</v>
      </c>
      <c r="H387" s="23">
        <f t="shared" si="6"/>
        <v>0.89999999999999991</v>
      </c>
    </row>
    <row r="388" spans="1:12" ht="25.5">
      <c r="A388" s="20"/>
      <c r="B388" s="34"/>
      <c r="C388" s="31" t="s">
        <v>206</v>
      </c>
      <c r="D388" s="32" t="s">
        <v>207</v>
      </c>
      <c r="E388" s="107">
        <v>9024</v>
      </c>
      <c r="F388" s="107">
        <v>7500</v>
      </c>
      <c r="G388" s="107">
        <v>0</v>
      </c>
      <c r="H388" s="23">
        <f t="shared" si="6"/>
        <v>0.8311170212765957</v>
      </c>
    </row>
    <row r="389" spans="1:12">
      <c r="A389" s="20"/>
      <c r="B389" s="34"/>
      <c r="C389" s="31" t="s">
        <v>322</v>
      </c>
      <c r="D389" s="32" t="s">
        <v>323</v>
      </c>
      <c r="E389" s="107">
        <v>440</v>
      </c>
      <c r="F389" s="107">
        <v>324.77999999999997</v>
      </c>
      <c r="G389" s="107">
        <v>0</v>
      </c>
      <c r="H389" s="23">
        <f t="shared" si="6"/>
        <v>0.73813636363636359</v>
      </c>
    </row>
    <row r="390" spans="1:12" ht="25.5">
      <c r="A390" s="20"/>
      <c r="B390" s="34"/>
      <c r="C390" s="31" t="s">
        <v>221</v>
      </c>
      <c r="D390" s="32" t="s">
        <v>222</v>
      </c>
      <c r="E390" s="107">
        <v>100</v>
      </c>
      <c r="F390" s="107">
        <v>97.45</v>
      </c>
      <c r="G390" s="107">
        <v>0</v>
      </c>
      <c r="H390" s="23">
        <f t="shared" si="6"/>
        <v>0.97450000000000003</v>
      </c>
    </row>
    <row r="391" spans="1:12" ht="25.5">
      <c r="A391" s="20"/>
      <c r="B391" s="34"/>
      <c r="C391" s="31" t="s">
        <v>193</v>
      </c>
      <c r="D391" s="32" t="s">
        <v>189</v>
      </c>
      <c r="E391" s="107">
        <v>5000</v>
      </c>
      <c r="F391" s="107">
        <v>2973</v>
      </c>
      <c r="G391" s="107">
        <v>0</v>
      </c>
      <c r="H391" s="23">
        <f t="shared" si="6"/>
        <v>0.59460000000000002</v>
      </c>
    </row>
    <row r="392" spans="1:12" ht="25.5">
      <c r="A392" s="20"/>
      <c r="B392" s="34"/>
      <c r="C392" s="31" t="s">
        <v>194</v>
      </c>
      <c r="D392" s="32" t="s">
        <v>190</v>
      </c>
      <c r="E392" s="107">
        <v>3000</v>
      </c>
      <c r="F392" s="107">
        <v>0</v>
      </c>
      <c r="G392" s="107">
        <v>0</v>
      </c>
      <c r="H392" s="23">
        <f t="shared" si="6"/>
        <v>0</v>
      </c>
    </row>
    <row r="393" spans="1:12" ht="25.5">
      <c r="A393" s="20"/>
      <c r="B393" s="34"/>
      <c r="C393" s="31" t="s">
        <v>324</v>
      </c>
      <c r="D393" s="32" t="s">
        <v>190</v>
      </c>
      <c r="E393" s="107">
        <v>142</v>
      </c>
      <c r="F393" s="107">
        <v>0</v>
      </c>
      <c r="G393" s="107">
        <v>0</v>
      </c>
      <c r="H393" s="23">
        <f t="shared" si="6"/>
        <v>0</v>
      </c>
    </row>
    <row r="394" spans="1:12" ht="25.5">
      <c r="A394" s="20"/>
      <c r="B394" s="34"/>
      <c r="C394" s="31" t="s">
        <v>325</v>
      </c>
      <c r="D394" s="32" t="s">
        <v>190</v>
      </c>
      <c r="E394" s="107">
        <v>9</v>
      </c>
      <c r="F394" s="107">
        <v>0</v>
      </c>
      <c r="G394" s="107">
        <v>0</v>
      </c>
      <c r="H394" s="23">
        <f t="shared" ref="H394:H425" si="7">F394/E394</f>
        <v>0</v>
      </c>
    </row>
    <row r="395" spans="1:12" ht="25.5">
      <c r="A395" s="20"/>
      <c r="B395" s="34"/>
      <c r="C395" s="31" t="s">
        <v>208</v>
      </c>
      <c r="D395" s="32" t="s">
        <v>186</v>
      </c>
      <c r="E395" s="107">
        <v>5000</v>
      </c>
      <c r="F395" s="107">
        <v>1885</v>
      </c>
      <c r="G395" s="107">
        <v>0</v>
      </c>
      <c r="H395" s="23">
        <f t="shared" si="7"/>
        <v>0.377</v>
      </c>
    </row>
    <row r="396" spans="1:12" ht="15.75" customHeight="1">
      <c r="A396" s="20"/>
      <c r="B396" s="34"/>
      <c r="C396" s="31" t="s">
        <v>180</v>
      </c>
      <c r="D396" s="32" t="s">
        <v>160</v>
      </c>
      <c r="E396" s="107">
        <v>1575300</v>
      </c>
      <c r="F396" s="107">
        <v>26352</v>
      </c>
      <c r="G396" s="107">
        <v>0</v>
      </c>
      <c r="H396" s="23">
        <f t="shared" si="7"/>
        <v>1.6728242239573414E-2</v>
      </c>
    </row>
    <row r="397" spans="1:12" ht="25.5">
      <c r="A397" s="50"/>
      <c r="B397" s="66">
        <v>85228</v>
      </c>
      <c r="C397" s="51"/>
      <c r="D397" s="52" t="s">
        <v>265</v>
      </c>
      <c r="E397" s="59">
        <f>SUM(E398:E406)</f>
        <v>212200</v>
      </c>
      <c r="F397" s="59">
        <f>SUM(F398:F406)</f>
        <v>81781.570000000007</v>
      </c>
      <c r="G397" s="59">
        <f>SUM(G398:G406)</f>
        <v>14230.86</v>
      </c>
      <c r="H397" s="17">
        <f t="shared" si="7"/>
        <v>0.38539853911404337</v>
      </c>
    </row>
    <row r="398" spans="1:12" ht="25.5">
      <c r="A398" s="86"/>
      <c r="B398" s="34"/>
      <c r="C398" s="31" t="s">
        <v>195</v>
      </c>
      <c r="D398" s="32" t="s">
        <v>196</v>
      </c>
      <c r="E398" s="107">
        <v>800</v>
      </c>
      <c r="F398" s="107">
        <v>413.33</v>
      </c>
      <c r="G398" s="107">
        <v>0</v>
      </c>
      <c r="H398" s="23">
        <f t="shared" si="7"/>
        <v>0.51666250000000002</v>
      </c>
    </row>
    <row r="399" spans="1:12">
      <c r="A399" s="20"/>
      <c r="B399" s="34"/>
      <c r="C399" s="31" t="s">
        <v>197</v>
      </c>
      <c r="D399" s="32" t="s">
        <v>184</v>
      </c>
      <c r="E399" s="107">
        <v>51290</v>
      </c>
      <c r="F399" s="107">
        <v>22753.62</v>
      </c>
      <c r="G399" s="107">
        <v>1048.75</v>
      </c>
      <c r="H399" s="23">
        <f t="shared" si="7"/>
        <v>0.4436268278416845</v>
      </c>
      <c r="L399" s="80">
        <f>F399+F400+F401+F402+F403</f>
        <v>78116.67</v>
      </c>
    </row>
    <row r="400" spans="1:12">
      <c r="A400" s="20"/>
      <c r="B400" s="34"/>
      <c r="C400" s="31" t="s">
        <v>198</v>
      </c>
      <c r="D400" s="32" t="s">
        <v>185</v>
      </c>
      <c r="E400" s="107">
        <v>4690</v>
      </c>
      <c r="F400" s="107">
        <v>4254.43</v>
      </c>
      <c r="G400" s="107">
        <v>0</v>
      </c>
      <c r="H400" s="23">
        <f t="shared" si="7"/>
        <v>0.90712793176972284</v>
      </c>
    </row>
    <row r="401" spans="1:13">
      <c r="A401" s="20"/>
      <c r="B401" s="34"/>
      <c r="C401" s="31" t="s">
        <v>170</v>
      </c>
      <c r="D401" s="32" t="s">
        <v>45</v>
      </c>
      <c r="E401" s="107">
        <v>30040</v>
      </c>
      <c r="F401" s="107">
        <v>10789.98</v>
      </c>
      <c r="G401" s="107">
        <v>3062.34</v>
      </c>
      <c r="H401" s="23">
        <f t="shared" si="7"/>
        <v>0.35918708388814913</v>
      </c>
    </row>
    <row r="402" spans="1:13">
      <c r="A402" s="20"/>
      <c r="B402" s="34"/>
      <c r="C402" s="31" t="s">
        <v>171</v>
      </c>
      <c r="D402" s="32" t="s">
        <v>163</v>
      </c>
      <c r="E402" s="107">
        <v>4700</v>
      </c>
      <c r="F402" s="107">
        <v>985.74</v>
      </c>
      <c r="G402" s="107">
        <v>101.4</v>
      </c>
      <c r="H402" s="23">
        <f t="shared" si="7"/>
        <v>0.20973191489361703</v>
      </c>
    </row>
    <row r="403" spans="1:13">
      <c r="A403" s="20"/>
      <c r="B403" s="34"/>
      <c r="C403" s="31" t="s">
        <v>172</v>
      </c>
      <c r="D403" s="32" t="s">
        <v>164</v>
      </c>
      <c r="E403" s="107">
        <v>115780</v>
      </c>
      <c r="F403" s="107">
        <v>39332.9</v>
      </c>
      <c r="G403" s="107">
        <v>10018.370000000001</v>
      </c>
      <c r="H403" s="23">
        <f t="shared" si="7"/>
        <v>0.33972102262912424</v>
      </c>
    </row>
    <row r="404" spans="1:13">
      <c r="A404" s="20"/>
      <c r="B404" s="34"/>
      <c r="C404" s="31" t="s">
        <v>173</v>
      </c>
      <c r="D404" s="32" t="s">
        <v>11</v>
      </c>
      <c r="E404" s="107">
        <v>1000</v>
      </c>
      <c r="F404" s="107">
        <v>751.57</v>
      </c>
      <c r="G404" s="107">
        <v>0</v>
      </c>
      <c r="H404" s="23">
        <f t="shared" si="7"/>
        <v>0.75157000000000007</v>
      </c>
    </row>
    <row r="405" spans="1:13">
      <c r="A405" s="20"/>
      <c r="B405" s="34"/>
      <c r="C405" s="31" t="s">
        <v>174</v>
      </c>
      <c r="D405" s="32" t="s">
        <v>13</v>
      </c>
      <c r="E405" s="107">
        <v>2000</v>
      </c>
      <c r="F405" s="107">
        <v>1000</v>
      </c>
      <c r="G405" s="107">
        <v>0</v>
      </c>
      <c r="H405" s="23">
        <f t="shared" si="7"/>
        <v>0.5</v>
      </c>
    </row>
    <row r="406" spans="1:13" ht="25.5">
      <c r="A406" s="20"/>
      <c r="B406" s="34"/>
      <c r="C406" s="31" t="s">
        <v>206</v>
      </c>
      <c r="D406" s="32" t="s">
        <v>207</v>
      </c>
      <c r="E406" s="107">
        <v>1900</v>
      </c>
      <c r="F406" s="107">
        <v>1500</v>
      </c>
      <c r="G406" s="107">
        <v>0</v>
      </c>
      <c r="H406" s="23">
        <f t="shared" si="7"/>
        <v>0.78947368421052633</v>
      </c>
    </row>
    <row r="407" spans="1:13" s="18" customFormat="1" hidden="1">
      <c r="A407" s="14"/>
      <c r="B407" s="123">
        <v>85278</v>
      </c>
      <c r="C407" s="39"/>
      <c r="D407" s="15" t="s">
        <v>54</v>
      </c>
      <c r="E407" s="16">
        <f>E408</f>
        <v>0</v>
      </c>
      <c r="F407" s="16">
        <f>F408</f>
        <v>0</v>
      </c>
      <c r="G407" s="16">
        <f>G408</f>
        <v>0</v>
      </c>
      <c r="H407" s="17" t="e">
        <f t="shared" si="7"/>
        <v>#DIV/0!</v>
      </c>
      <c r="L407" s="127"/>
      <c r="M407" s="127"/>
    </row>
    <row r="408" spans="1:13" hidden="1">
      <c r="A408" s="41"/>
      <c r="B408" s="25"/>
      <c r="C408" s="31" t="s">
        <v>255</v>
      </c>
      <c r="D408" s="32" t="s">
        <v>51</v>
      </c>
      <c r="E408" s="107"/>
      <c r="F408" s="107"/>
      <c r="G408" s="107"/>
      <c r="H408" s="23" t="e">
        <f t="shared" si="7"/>
        <v>#DIV/0!</v>
      </c>
    </row>
    <row r="409" spans="1:13">
      <c r="A409" s="14"/>
      <c r="B409" s="123">
        <v>85295</v>
      </c>
      <c r="C409" s="39"/>
      <c r="D409" s="15" t="s">
        <v>17</v>
      </c>
      <c r="E409" s="16">
        <f>SUM(E410:E415)</f>
        <v>693763</v>
      </c>
      <c r="F409" s="16">
        <f>SUM(F410:F415)</f>
        <v>310033.64999999997</v>
      </c>
      <c r="G409" s="16">
        <f>SUM(G410:G415)</f>
        <v>152.47999999999999</v>
      </c>
      <c r="H409" s="17">
        <f t="shared" si="7"/>
        <v>0.44688697725303883</v>
      </c>
      <c r="K409" s="6">
        <f>F410-K410</f>
        <v>-51824.790000000008</v>
      </c>
    </row>
    <row r="410" spans="1:13">
      <c r="A410" s="85"/>
      <c r="B410" s="34"/>
      <c r="C410" s="31" t="s">
        <v>255</v>
      </c>
      <c r="D410" s="32" t="s">
        <v>51</v>
      </c>
      <c r="E410" s="107">
        <v>354220</v>
      </c>
      <c r="F410" s="107">
        <v>167302.21</v>
      </c>
      <c r="G410" s="107">
        <v>0</v>
      </c>
      <c r="H410" s="23">
        <f t="shared" si="7"/>
        <v>0.47231158601998757</v>
      </c>
      <c r="K410" s="5">
        <v>219127</v>
      </c>
      <c r="L410" s="80" t="e">
        <f>#REF!+#REF!+F411</f>
        <v>#REF!</v>
      </c>
    </row>
    <row r="411" spans="1:13">
      <c r="A411" s="20"/>
      <c r="B411" s="34"/>
      <c r="C411" s="31" t="s">
        <v>172</v>
      </c>
      <c r="D411" s="32" t="s">
        <v>164</v>
      </c>
      <c r="E411" s="107">
        <v>20700</v>
      </c>
      <c r="F411" s="107">
        <v>8146.52</v>
      </c>
      <c r="G411" s="107">
        <v>152.47999999999999</v>
      </c>
      <c r="H411" s="23">
        <f t="shared" si="7"/>
        <v>0.39355169082125607</v>
      </c>
    </row>
    <row r="412" spans="1:13">
      <c r="A412" s="20"/>
      <c r="B412" s="34"/>
      <c r="C412" s="31" t="s">
        <v>266</v>
      </c>
      <c r="D412" s="32" t="s">
        <v>164</v>
      </c>
      <c r="E412" s="107">
        <v>1571.67</v>
      </c>
      <c r="F412" s="107">
        <v>1571.67</v>
      </c>
      <c r="G412" s="107">
        <v>0</v>
      </c>
      <c r="H412" s="23">
        <f t="shared" si="7"/>
        <v>1</v>
      </c>
    </row>
    <row r="413" spans="1:13">
      <c r="A413" s="20"/>
      <c r="B413" s="34"/>
      <c r="C413" s="31" t="s">
        <v>173</v>
      </c>
      <c r="D413" s="32" t="s">
        <v>11</v>
      </c>
      <c r="E413" s="107">
        <v>20000</v>
      </c>
      <c r="F413" s="107">
        <v>4344.71</v>
      </c>
      <c r="G413" s="107">
        <v>0</v>
      </c>
      <c r="H413" s="23">
        <f t="shared" si="7"/>
        <v>0.2172355</v>
      </c>
      <c r="L413" s="80" t="e">
        <f>#REF!+#REF!+F411+F412</f>
        <v>#REF!</v>
      </c>
    </row>
    <row r="414" spans="1:13">
      <c r="A414" s="20"/>
      <c r="B414" s="34"/>
      <c r="C414" s="31" t="s">
        <v>201</v>
      </c>
      <c r="D414" s="32" t="s">
        <v>37</v>
      </c>
      <c r="E414" s="107">
        <v>200</v>
      </c>
      <c r="F414" s="107">
        <v>80</v>
      </c>
      <c r="G414" s="107">
        <v>0</v>
      </c>
      <c r="H414" s="23">
        <f t="shared" si="7"/>
        <v>0.4</v>
      </c>
    </row>
    <row r="415" spans="1:13">
      <c r="A415" s="20"/>
      <c r="B415" s="34"/>
      <c r="C415" s="31" t="s">
        <v>267</v>
      </c>
      <c r="D415" s="32" t="s">
        <v>13</v>
      </c>
      <c r="E415" s="107">
        <v>297071.33</v>
      </c>
      <c r="F415" s="107">
        <v>128588.54</v>
      </c>
      <c r="G415" s="107">
        <v>0</v>
      </c>
      <c r="H415" s="23">
        <f t="shared" si="7"/>
        <v>0.43285408928555974</v>
      </c>
    </row>
    <row r="416" spans="1:13" s="18" customFormat="1" ht="25.5" hidden="1">
      <c r="A416" s="37">
        <v>853</v>
      </c>
      <c r="B416" s="124"/>
      <c r="C416" s="124"/>
      <c r="D416" s="87" t="s">
        <v>146</v>
      </c>
      <c r="E416" s="88">
        <f>E417</f>
        <v>0</v>
      </c>
      <c r="F416" s="88">
        <f>F417</f>
        <v>0</v>
      </c>
      <c r="G416" s="88">
        <f>G417</f>
        <v>0</v>
      </c>
      <c r="H416" s="89" t="e">
        <f t="shared" si="7"/>
        <v>#DIV/0!</v>
      </c>
      <c r="L416" s="127"/>
      <c r="M416" s="127"/>
    </row>
    <row r="417" spans="1:12" hidden="1">
      <c r="A417" s="14"/>
      <c r="B417" s="123">
        <v>85395</v>
      </c>
      <c r="C417" s="123"/>
      <c r="D417" s="14" t="s">
        <v>17</v>
      </c>
      <c r="E417" s="84">
        <f>SUM(E418:E418)</f>
        <v>0</v>
      </c>
      <c r="F417" s="84">
        <f>SUM(F418:F418)</f>
        <v>0</v>
      </c>
      <c r="G417" s="84">
        <f>SUM(G418:G418)</f>
        <v>0</v>
      </c>
      <c r="H417" s="17" t="e">
        <f t="shared" si="7"/>
        <v>#DIV/0!</v>
      </c>
    </row>
    <row r="418" spans="1:12" ht="25.5" hidden="1">
      <c r="A418" s="20"/>
      <c r="B418" s="34"/>
      <c r="C418" s="31" t="s">
        <v>182</v>
      </c>
      <c r="D418" s="32" t="s">
        <v>34</v>
      </c>
      <c r="E418" s="107"/>
      <c r="F418" s="107"/>
      <c r="G418" s="107"/>
      <c r="H418" s="23" t="e">
        <f t="shared" si="7"/>
        <v>#DIV/0!</v>
      </c>
    </row>
    <row r="419" spans="1:12" ht="15">
      <c r="A419" s="37">
        <v>854</v>
      </c>
      <c r="B419" s="124"/>
      <c r="C419" s="70"/>
      <c r="D419" s="37" t="s">
        <v>55</v>
      </c>
      <c r="E419" s="90">
        <f>E420+E437+E435</f>
        <v>344403</v>
      </c>
      <c r="F419" s="90">
        <f>F420+F437+F435</f>
        <v>188452.90000000002</v>
      </c>
      <c r="G419" s="90">
        <f>G420+G437+G435</f>
        <v>5076.0899999999992</v>
      </c>
      <c r="H419" s="29">
        <f t="shared" si="7"/>
        <v>0.54718716155201907</v>
      </c>
    </row>
    <row r="420" spans="1:12">
      <c r="A420" s="14"/>
      <c r="B420" s="123">
        <v>85401</v>
      </c>
      <c r="C420" s="39"/>
      <c r="D420" s="15" t="s">
        <v>268</v>
      </c>
      <c r="E420" s="16">
        <f>SUM(E421:E434)</f>
        <v>222510</v>
      </c>
      <c r="F420" s="16">
        <f>SUM(F421:F434)</f>
        <v>90322.1</v>
      </c>
      <c r="G420" s="16">
        <f>SUM(G421:G434)</f>
        <v>5076.0899999999992</v>
      </c>
      <c r="H420" s="17">
        <f t="shared" si="7"/>
        <v>0.40592377870657503</v>
      </c>
    </row>
    <row r="421" spans="1:12" ht="25.5">
      <c r="A421" s="85"/>
      <c r="B421" s="34"/>
      <c r="C421" s="31" t="s">
        <v>195</v>
      </c>
      <c r="D421" s="32" t="s">
        <v>196</v>
      </c>
      <c r="E421" s="107">
        <v>14530</v>
      </c>
      <c r="F421" s="107">
        <v>7265.44</v>
      </c>
      <c r="G421" s="107">
        <v>320.70999999999998</v>
      </c>
      <c r="H421" s="23">
        <f t="shared" si="7"/>
        <v>0.50003028217481071</v>
      </c>
      <c r="L421" s="80">
        <f>F422+F423+F424+F425</f>
        <v>73969.81</v>
      </c>
    </row>
    <row r="422" spans="1:12">
      <c r="A422" s="20"/>
      <c r="B422" s="34"/>
      <c r="C422" s="31" t="s">
        <v>197</v>
      </c>
      <c r="D422" s="32" t="s">
        <v>184</v>
      </c>
      <c r="E422" s="107">
        <v>149027</v>
      </c>
      <c r="F422" s="107">
        <v>54507.78</v>
      </c>
      <c r="G422" s="107">
        <v>2982.58</v>
      </c>
      <c r="H422" s="23">
        <f t="shared" si="7"/>
        <v>0.365757748595892</v>
      </c>
      <c r="L422" s="80">
        <f>L421/F420</f>
        <v>0.81895582587207327</v>
      </c>
    </row>
    <row r="423" spans="1:12">
      <c r="A423" s="20"/>
      <c r="B423" s="34"/>
      <c r="C423" s="31" t="s">
        <v>198</v>
      </c>
      <c r="D423" s="32" t="s">
        <v>185</v>
      </c>
      <c r="E423" s="107">
        <v>8360</v>
      </c>
      <c r="F423" s="107">
        <v>8346.41</v>
      </c>
      <c r="G423" s="107">
        <v>0</v>
      </c>
      <c r="H423" s="23">
        <f t="shared" si="7"/>
        <v>0.99837440191387561</v>
      </c>
    </row>
    <row r="424" spans="1:12">
      <c r="A424" s="20"/>
      <c r="B424" s="34"/>
      <c r="C424" s="31" t="s">
        <v>170</v>
      </c>
      <c r="D424" s="32" t="s">
        <v>45</v>
      </c>
      <c r="E424" s="107">
        <v>27780</v>
      </c>
      <c r="F424" s="107">
        <v>9539.19</v>
      </c>
      <c r="G424" s="107">
        <v>1526.57</v>
      </c>
      <c r="H424" s="23">
        <f t="shared" si="7"/>
        <v>0.3433833693304536</v>
      </c>
    </row>
    <row r="425" spans="1:12">
      <c r="A425" s="20"/>
      <c r="B425" s="34"/>
      <c r="C425" s="31" t="s">
        <v>171</v>
      </c>
      <c r="D425" s="32" t="s">
        <v>163</v>
      </c>
      <c r="E425" s="107">
        <v>4300</v>
      </c>
      <c r="F425" s="107">
        <v>1576.43</v>
      </c>
      <c r="G425" s="107">
        <v>246.23</v>
      </c>
      <c r="H425" s="23">
        <f t="shared" si="7"/>
        <v>0.36661162790697677</v>
      </c>
    </row>
    <row r="426" spans="1:12">
      <c r="A426" s="20"/>
      <c r="B426" s="34"/>
      <c r="C426" s="31" t="s">
        <v>173</v>
      </c>
      <c r="D426" s="32" t="s">
        <v>11</v>
      </c>
      <c r="E426" s="107">
        <v>900</v>
      </c>
      <c r="F426" s="107">
        <v>0</v>
      </c>
      <c r="G426" s="107">
        <v>0</v>
      </c>
      <c r="H426" s="23">
        <f t="shared" ref="H426:H448" si="8">F426/E426</f>
        <v>0</v>
      </c>
    </row>
    <row r="427" spans="1:12" ht="25.5">
      <c r="A427" s="20"/>
      <c r="B427" s="34"/>
      <c r="C427" s="31" t="s">
        <v>227</v>
      </c>
      <c r="D427" s="32" t="s">
        <v>228</v>
      </c>
      <c r="E427" s="107">
        <v>900</v>
      </c>
      <c r="F427" s="107">
        <v>0</v>
      </c>
      <c r="G427" s="107">
        <v>0</v>
      </c>
      <c r="H427" s="23">
        <f t="shared" si="8"/>
        <v>0</v>
      </c>
    </row>
    <row r="428" spans="1:12">
      <c r="A428" s="20"/>
      <c r="B428" s="34"/>
      <c r="C428" s="31" t="s">
        <v>181</v>
      </c>
      <c r="D428" s="32" t="s">
        <v>24</v>
      </c>
      <c r="E428" s="107">
        <v>2800</v>
      </c>
      <c r="F428" s="107">
        <v>1020.35</v>
      </c>
      <c r="G428" s="107">
        <v>0</v>
      </c>
      <c r="H428" s="23">
        <f t="shared" si="8"/>
        <v>0.36441071428571431</v>
      </c>
    </row>
    <row r="429" spans="1:12">
      <c r="A429" s="20"/>
      <c r="B429" s="34"/>
      <c r="C429" s="31" t="s">
        <v>201</v>
      </c>
      <c r="D429" s="32" t="s">
        <v>37</v>
      </c>
      <c r="E429" s="107">
        <v>350</v>
      </c>
      <c r="F429" s="107">
        <v>0</v>
      </c>
      <c r="G429" s="107">
        <v>0</v>
      </c>
      <c r="H429" s="23">
        <f t="shared" si="8"/>
        <v>0</v>
      </c>
    </row>
    <row r="430" spans="1:12">
      <c r="A430" s="20"/>
      <c r="B430" s="34"/>
      <c r="C430" s="31" t="s">
        <v>175</v>
      </c>
      <c r="D430" s="32" t="s">
        <v>25</v>
      </c>
      <c r="E430" s="107">
        <v>250</v>
      </c>
      <c r="F430" s="107">
        <v>0</v>
      </c>
      <c r="G430" s="107">
        <v>0</v>
      </c>
      <c r="H430" s="23">
        <f t="shared" si="8"/>
        <v>0</v>
      </c>
    </row>
    <row r="431" spans="1:12">
      <c r="A431" s="20"/>
      <c r="B431" s="34"/>
      <c r="C431" s="31" t="s">
        <v>176</v>
      </c>
      <c r="D431" s="32" t="s">
        <v>26</v>
      </c>
      <c r="E431" s="107">
        <v>1700</v>
      </c>
      <c r="F431" s="107">
        <v>0</v>
      </c>
      <c r="G431" s="107">
        <v>0</v>
      </c>
      <c r="H431" s="23">
        <f t="shared" si="8"/>
        <v>0</v>
      </c>
    </row>
    <row r="432" spans="1:12" ht="25.5">
      <c r="A432" s="20"/>
      <c r="B432" s="34"/>
      <c r="C432" s="31" t="s">
        <v>206</v>
      </c>
      <c r="D432" s="32" t="s">
        <v>207</v>
      </c>
      <c r="E432" s="107">
        <v>10613</v>
      </c>
      <c r="F432" s="107">
        <v>8066.5</v>
      </c>
      <c r="G432" s="107">
        <v>0</v>
      </c>
      <c r="H432" s="23">
        <f t="shared" si="8"/>
        <v>0.76005841892019221</v>
      </c>
    </row>
    <row r="433" spans="1:13" ht="25.5">
      <c r="A433" s="20"/>
      <c r="B433" s="34"/>
      <c r="C433" s="31" t="s">
        <v>194</v>
      </c>
      <c r="D433" s="32" t="s">
        <v>190</v>
      </c>
      <c r="E433" s="107">
        <v>500</v>
      </c>
      <c r="F433" s="107">
        <v>0</v>
      </c>
      <c r="G433" s="107">
        <v>0</v>
      </c>
      <c r="H433" s="23">
        <f t="shared" si="8"/>
        <v>0</v>
      </c>
    </row>
    <row r="434" spans="1:13" ht="25.5">
      <c r="A434" s="20"/>
      <c r="B434" s="34"/>
      <c r="C434" s="31" t="s">
        <v>208</v>
      </c>
      <c r="D434" s="32" t="s">
        <v>186</v>
      </c>
      <c r="E434" s="107">
        <v>500</v>
      </c>
      <c r="F434" s="107">
        <v>0</v>
      </c>
      <c r="G434" s="107">
        <v>0</v>
      </c>
      <c r="H434" s="23">
        <f t="shared" si="8"/>
        <v>0</v>
      </c>
    </row>
    <row r="435" spans="1:13" s="18" customFormat="1" ht="25.5">
      <c r="A435" s="14"/>
      <c r="B435" s="123">
        <v>85406</v>
      </c>
      <c r="C435" s="39"/>
      <c r="D435" s="15" t="s">
        <v>269</v>
      </c>
      <c r="E435" s="84">
        <f>E436</f>
        <v>4800</v>
      </c>
      <c r="F435" s="84">
        <f>F436</f>
        <v>0</v>
      </c>
      <c r="G435" s="84">
        <f>G436</f>
        <v>0</v>
      </c>
      <c r="H435" s="17">
        <f t="shared" si="8"/>
        <v>0</v>
      </c>
      <c r="L435" s="127"/>
      <c r="M435" s="127"/>
    </row>
    <row r="436" spans="1:13" ht="51">
      <c r="A436" s="41"/>
      <c r="B436" s="34"/>
      <c r="C436" s="31" t="s">
        <v>168</v>
      </c>
      <c r="D436" s="32" t="s">
        <v>166</v>
      </c>
      <c r="E436" s="107">
        <v>4800</v>
      </c>
      <c r="F436" s="107">
        <v>0</v>
      </c>
      <c r="G436" s="107">
        <v>0</v>
      </c>
      <c r="H436" s="23">
        <f t="shared" si="8"/>
        <v>0</v>
      </c>
    </row>
    <row r="437" spans="1:13">
      <c r="A437" s="14"/>
      <c r="B437" s="123">
        <v>85415</v>
      </c>
      <c r="C437" s="39"/>
      <c r="D437" s="15" t="s">
        <v>270</v>
      </c>
      <c r="E437" s="16">
        <f>E438+E439</f>
        <v>117093</v>
      </c>
      <c r="F437" s="16">
        <f>F438+F439</f>
        <v>98130.8</v>
      </c>
      <c r="G437" s="16">
        <f>G438+G439</f>
        <v>0</v>
      </c>
      <c r="H437" s="17">
        <f t="shared" si="8"/>
        <v>0.83805863715166584</v>
      </c>
    </row>
    <row r="438" spans="1:13">
      <c r="A438" s="85"/>
      <c r="B438" s="34"/>
      <c r="C438" s="31" t="s">
        <v>271</v>
      </c>
      <c r="D438" s="32" t="s">
        <v>272</v>
      </c>
      <c r="E438" s="107">
        <v>98155</v>
      </c>
      <c r="F438" s="107">
        <v>98130.8</v>
      </c>
      <c r="G438" s="107">
        <v>0</v>
      </c>
      <c r="H438" s="23">
        <f t="shared" si="8"/>
        <v>0.99975345117416337</v>
      </c>
      <c r="I438" s="47">
        <f>G438/F438</f>
        <v>0</v>
      </c>
      <c r="J438" s="47" t="e">
        <f>H438/G438</f>
        <v>#DIV/0!</v>
      </c>
    </row>
    <row r="439" spans="1:13">
      <c r="A439" s="20"/>
      <c r="B439" s="34"/>
      <c r="C439" s="31" t="s">
        <v>273</v>
      </c>
      <c r="D439" s="32" t="s">
        <v>274</v>
      </c>
      <c r="E439" s="107">
        <v>18938</v>
      </c>
      <c r="F439" s="107">
        <v>0</v>
      </c>
      <c r="G439" s="107">
        <v>0</v>
      </c>
      <c r="H439" s="23">
        <f t="shared" si="8"/>
        <v>0</v>
      </c>
    </row>
    <row r="440" spans="1:13" s="18" customFormat="1" ht="16.5" customHeight="1">
      <c r="A440" s="37">
        <v>900</v>
      </c>
      <c r="B440" s="37"/>
      <c r="C440" s="38"/>
      <c r="D440" s="10" t="s">
        <v>275</v>
      </c>
      <c r="E440" s="11">
        <f>SUM(E441+E450+E456+E453+E458+E463+E447)</f>
        <v>2303896.7000000002</v>
      </c>
      <c r="F440" s="11">
        <f>SUM(F441+F450+F456+F453+F458+F463+F447)</f>
        <v>679784.12</v>
      </c>
      <c r="G440" s="11">
        <f>SUM(G441+G450+G456+G453+G458+G463+G447)</f>
        <v>54962.45</v>
      </c>
      <c r="H440" s="29">
        <f t="shared" si="8"/>
        <v>0.29505841993697024</v>
      </c>
      <c r="L440" s="127"/>
      <c r="M440" s="127"/>
    </row>
    <row r="441" spans="1:13">
      <c r="A441" s="13"/>
      <c r="B441" s="123">
        <v>90001</v>
      </c>
      <c r="C441" s="39"/>
      <c r="D441" s="15" t="s">
        <v>57</v>
      </c>
      <c r="E441" s="16">
        <f>SUM(E442:E446)</f>
        <v>1116931</v>
      </c>
      <c r="F441" s="16">
        <f>SUM(F442:F446)</f>
        <v>157943</v>
      </c>
      <c r="G441" s="16">
        <f>SUM(G442:G446)</f>
        <v>0</v>
      </c>
      <c r="H441" s="17">
        <f t="shared" si="8"/>
        <v>0.14140801893760671</v>
      </c>
    </row>
    <row r="442" spans="1:13" s="24" customFormat="1" ht="25.5">
      <c r="A442" s="40"/>
      <c r="B442" s="25"/>
      <c r="C442" s="31" t="s">
        <v>178</v>
      </c>
      <c r="D442" s="32" t="s">
        <v>165</v>
      </c>
      <c r="E442" s="107">
        <v>273931</v>
      </c>
      <c r="F442" s="107">
        <v>136962</v>
      </c>
      <c r="G442" s="107">
        <v>0</v>
      </c>
      <c r="H442" s="23">
        <f t="shared" si="8"/>
        <v>0.49998722305982163</v>
      </c>
      <c r="K442" s="83">
        <f>F442+F443</f>
        <v>136962</v>
      </c>
      <c r="L442" s="79">
        <f>K442-F441</f>
        <v>-20981</v>
      </c>
      <c r="M442" s="79"/>
    </row>
    <row r="443" spans="1:13" s="24" customFormat="1">
      <c r="A443" s="19"/>
      <c r="B443" s="25"/>
      <c r="C443" s="31" t="s">
        <v>179</v>
      </c>
      <c r="D443" s="32" t="s">
        <v>21</v>
      </c>
      <c r="E443" s="107">
        <v>8000</v>
      </c>
      <c r="F443" s="107">
        <v>0</v>
      </c>
      <c r="G443" s="107">
        <v>0</v>
      </c>
      <c r="H443" s="23">
        <f t="shared" si="8"/>
        <v>0</v>
      </c>
      <c r="L443" s="79"/>
      <c r="M443" s="79"/>
    </row>
    <row r="444" spans="1:13" s="24" customFormat="1">
      <c r="A444" s="19"/>
      <c r="B444" s="25"/>
      <c r="C444" s="31" t="s">
        <v>174</v>
      </c>
      <c r="D444" s="32" t="s">
        <v>13</v>
      </c>
      <c r="E444" s="107">
        <v>7000</v>
      </c>
      <c r="F444" s="107">
        <v>0</v>
      </c>
      <c r="G444" s="107">
        <v>0</v>
      </c>
      <c r="H444" s="23">
        <f t="shared" si="8"/>
        <v>0</v>
      </c>
      <c r="L444" s="79"/>
      <c r="M444" s="79"/>
    </row>
    <row r="445" spans="1:13" s="24" customFormat="1" ht="25.5">
      <c r="A445" s="19"/>
      <c r="B445" s="25"/>
      <c r="C445" s="31" t="s">
        <v>180</v>
      </c>
      <c r="D445" s="32" t="s">
        <v>160</v>
      </c>
      <c r="E445" s="107">
        <v>793000</v>
      </c>
      <c r="F445" s="107">
        <v>3370</v>
      </c>
      <c r="G445" s="107">
        <v>0</v>
      </c>
      <c r="H445" s="23">
        <f t="shared" si="8"/>
        <v>4.2496847414880204E-3</v>
      </c>
      <c r="L445" s="79"/>
      <c r="M445" s="79"/>
    </row>
    <row r="446" spans="1:13" ht="51">
      <c r="A446" s="19"/>
      <c r="B446" s="34"/>
      <c r="C446" s="31" t="s">
        <v>276</v>
      </c>
      <c r="D446" s="32" t="s">
        <v>277</v>
      </c>
      <c r="E446" s="107">
        <v>35000</v>
      </c>
      <c r="F446" s="107">
        <v>17611</v>
      </c>
      <c r="G446" s="107">
        <v>0</v>
      </c>
      <c r="H446" s="23">
        <f t="shared" si="8"/>
        <v>0.5031714285714286</v>
      </c>
    </row>
    <row r="447" spans="1:13">
      <c r="A447" s="13"/>
      <c r="B447" s="123">
        <v>90002</v>
      </c>
      <c r="C447" s="39"/>
      <c r="D447" s="15" t="s">
        <v>130</v>
      </c>
      <c r="E447" s="84">
        <f>SUM(E448:E449)</f>
        <v>120000</v>
      </c>
      <c r="F447" s="84">
        <f>SUM(F448:F449)</f>
        <v>29371.47</v>
      </c>
      <c r="G447" s="84">
        <f>SUM(G448:G449)</f>
        <v>13809.91</v>
      </c>
      <c r="H447" s="17">
        <f t="shared" si="8"/>
        <v>0.24476225000000001</v>
      </c>
    </row>
    <row r="448" spans="1:13">
      <c r="A448" s="85"/>
      <c r="B448" s="20"/>
      <c r="C448" s="31" t="s">
        <v>173</v>
      </c>
      <c r="D448" s="32" t="s">
        <v>11</v>
      </c>
      <c r="E448" s="107">
        <v>20000</v>
      </c>
      <c r="F448" s="107">
        <v>0</v>
      </c>
      <c r="G448" s="107">
        <v>0</v>
      </c>
      <c r="H448" s="23">
        <f t="shared" si="8"/>
        <v>0</v>
      </c>
    </row>
    <row r="449" spans="1:13">
      <c r="A449" s="43"/>
      <c r="B449" s="20"/>
      <c r="C449" s="31" t="s">
        <v>174</v>
      </c>
      <c r="D449" s="32" t="s">
        <v>13</v>
      </c>
      <c r="E449" s="107">
        <v>100000</v>
      </c>
      <c r="F449" s="107">
        <v>29371.47</v>
      </c>
      <c r="G449" s="107">
        <v>13809.91</v>
      </c>
      <c r="H449" s="23"/>
    </row>
    <row r="450" spans="1:13">
      <c r="A450" s="13"/>
      <c r="B450" s="123">
        <v>90003</v>
      </c>
      <c r="C450" s="39"/>
      <c r="D450" s="15" t="s">
        <v>58</v>
      </c>
      <c r="E450" s="16">
        <f>SUM(E451:E452)</f>
        <v>268268</v>
      </c>
      <c r="F450" s="16">
        <f>SUM(F451:F452)</f>
        <v>133507.28</v>
      </c>
      <c r="G450" s="16">
        <f>SUM(G451:G452)</f>
        <v>0</v>
      </c>
      <c r="H450" s="17">
        <f t="shared" ref="H450:H471" si="9">F450/E450</f>
        <v>0.49766382870860482</v>
      </c>
    </row>
    <row r="451" spans="1:13" s="24" customFormat="1" ht="25.5">
      <c r="A451" s="85"/>
      <c r="B451" s="34"/>
      <c r="C451" s="31" t="s">
        <v>178</v>
      </c>
      <c r="D451" s="32" t="s">
        <v>165</v>
      </c>
      <c r="E451" s="107">
        <v>218268</v>
      </c>
      <c r="F451" s="107">
        <v>112745</v>
      </c>
      <c r="G451" s="107">
        <v>0</v>
      </c>
      <c r="H451" s="23">
        <f t="shared" si="9"/>
        <v>0.51654388183334254</v>
      </c>
      <c r="L451" s="79"/>
      <c r="M451" s="79"/>
    </row>
    <row r="452" spans="1:13">
      <c r="A452" s="20"/>
      <c r="B452" s="25"/>
      <c r="C452" s="31" t="s">
        <v>174</v>
      </c>
      <c r="D452" s="32" t="s">
        <v>13</v>
      </c>
      <c r="E452" s="107">
        <v>50000</v>
      </c>
      <c r="F452" s="107">
        <v>20762.28</v>
      </c>
      <c r="G452" s="107">
        <v>0</v>
      </c>
      <c r="H452" s="23">
        <f t="shared" si="9"/>
        <v>0.41524559999999999</v>
      </c>
    </row>
    <row r="453" spans="1:13">
      <c r="A453" s="14"/>
      <c r="B453" s="123">
        <v>90004</v>
      </c>
      <c r="C453" s="39"/>
      <c r="D453" s="15" t="s">
        <v>59</v>
      </c>
      <c r="E453" s="16">
        <f>SUM(E454:E455)</f>
        <v>21507.7</v>
      </c>
      <c r="F453" s="16">
        <f>SUM(F454:F455)</f>
        <v>8957.7000000000007</v>
      </c>
      <c r="G453" s="16">
        <f>SUM(G454:G455)</f>
        <v>578.96</v>
      </c>
      <c r="H453" s="17">
        <f t="shared" si="9"/>
        <v>0.41648804846636323</v>
      </c>
    </row>
    <row r="454" spans="1:13">
      <c r="A454" s="41"/>
      <c r="B454" s="91"/>
      <c r="C454" s="31" t="s">
        <v>173</v>
      </c>
      <c r="D454" s="32" t="s">
        <v>11</v>
      </c>
      <c r="E454" s="107">
        <v>6507.7</v>
      </c>
      <c r="F454" s="107">
        <v>1507.7</v>
      </c>
      <c r="G454" s="107">
        <v>578.96</v>
      </c>
      <c r="H454" s="23">
        <f t="shared" si="9"/>
        <v>0.23167939517801989</v>
      </c>
    </row>
    <row r="455" spans="1:13">
      <c r="A455" s="41"/>
      <c r="B455" s="25"/>
      <c r="C455" s="31" t="s">
        <v>174</v>
      </c>
      <c r="D455" s="32" t="s">
        <v>13</v>
      </c>
      <c r="E455" s="107">
        <v>15000</v>
      </c>
      <c r="F455" s="107">
        <v>7450</v>
      </c>
      <c r="G455" s="107">
        <v>0</v>
      </c>
      <c r="H455" s="23">
        <f t="shared" si="9"/>
        <v>0.49666666666666665</v>
      </c>
    </row>
    <row r="456" spans="1:13">
      <c r="A456" s="14"/>
      <c r="B456" s="123">
        <v>90013</v>
      </c>
      <c r="C456" s="39"/>
      <c r="D456" s="15" t="s">
        <v>60</v>
      </c>
      <c r="E456" s="16">
        <f>E457</f>
        <v>25000</v>
      </c>
      <c r="F456" s="16">
        <f>F457</f>
        <v>0</v>
      </c>
      <c r="G456" s="16">
        <f>G457</f>
        <v>0</v>
      </c>
      <c r="H456" s="17">
        <f t="shared" si="9"/>
        <v>0</v>
      </c>
    </row>
    <row r="457" spans="1:13">
      <c r="A457" s="41"/>
      <c r="B457" s="25"/>
      <c r="C457" s="31" t="s">
        <v>174</v>
      </c>
      <c r="D457" s="32" t="s">
        <v>13</v>
      </c>
      <c r="E457" s="107">
        <v>25000</v>
      </c>
      <c r="F457" s="107">
        <v>0</v>
      </c>
      <c r="G457" s="107">
        <v>0</v>
      </c>
      <c r="H457" s="23">
        <f t="shared" si="9"/>
        <v>0</v>
      </c>
    </row>
    <row r="458" spans="1:13">
      <c r="A458" s="14"/>
      <c r="B458" s="123">
        <v>90015</v>
      </c>
      <c r="C458" s="39"/>
      <c r="D458" s="15" t="s">
        <v>278</v>
      </c>
      <c r="E458" s="16">
        <f>SUM(E459:E462)</f>
        <v>600000</v>
      </c>
      <c r="F458" s="16">
        <f>SUM(F459:F462)</f>
        <v>308774.01</v>
      </c>
      <c r="G458" s="16">
        <f>SUM(G459:G462)</f>
        <v>30421.78</v>
      </c>
      <c r="H458" s="17">
        <f t="shared" si="9"/>
        <v>0.51462335000000003</v>
      </c>
    </row>
    <row r="459" spans="1:13" s="55" customFormat="1">
      <c r="A459" s="41"/>
      <c r="B459" s="91"/>
      <c r="C459" s="31" t="s">
        <v>172</v>
      </c>
      <c r="D459" s="32" t="s">
        <v>164</v>
      </c>
      <c r="E459" s="107">
        <v>800</v>
      </c>
      <c r="F459" s="107">
        <v>800</v>
      </c>
      <c r="G459" s="107">
        <v>0</v>
      </c>
      <c r="H459" s="23">
        <f t="shared" si="9"/>
        <v>1</v>
      </c>
      <c r="L459" s="136"/>
      <c r="M459" s="136"/>
    </row>
    <row r="460" spans="1:13">
      <c r="A460" s="85"/>
      <c r="B460" s="25"/>
      <c r="C460" s="31" t="s">
        <v>181</v>
      </c>
      <c r="D460" s="32" t="s">
        <v>24</v>
      </c>
      <c r="E460" s="107">
        <v>520000</v>
      </c>
      <c r="F460" s="107">
        <v>278040.31</v>
      </c>
      <c r="G460" s="107">
        <v>24435.040000000001</v>
      </c>
      <c r="H460" s="23">
        <f t="shared" si="9"/>
        <v>0.53469290384615387</v>
      </c>
    </row>
    <row r="461" spans="1:13">
      <c r="A461" s="20"/>
      <c r="B461" s="25"/>
      <c r="C461" s="31" t="s">
        <v>174</v>
      </c>
      <c r="D461" s="32" t="s">
        <v>13</v>
      </c>
      <c r="E461" s="107">
        <v>79200</v>
      </c>
      <c r="F461" s="107">
        <v>29933.7</v>
      </c>
      <c r="G461" s="107">
        <v>5986.74</v>
      </c>
      <c r="H461" s="23">
        <f t="shared" si="9"/>
        <v>0.37795075757575758</v>
      </c>
    </row>
    <row r="462" spans="1:13" ht="25.5" hidden="1">
      <c r="A462" s="20"/>
      <c r="B462" s="25"/>
      <c r="C462" s="31" t="s">
        <v>180</v>
      </c>
      <c r="D462" s="32" t="s">
        <v>160</v>
      </c>
      <c r="E462" s="107"/>
      <c r="F462" s="107"/>
      <c r="G462" s="107"/>
      <c r="H462" s="23" t="e">
        <f t="shared" si="9"/>
        <v>#DIV/0!</v>
      </c>
    </row>
    <row r="463" spans="1:13">
      <c r="A463" s="14"/>
      <c r="B463" s="123">
        <v>90095</v>
      </c>
      <c r="C463" s="39"/>
      <c r="D463" s="15" t="s">
        <v>17</v>
      </c>
      <c r="E463" s="16">
        <f>SUM(E464:E473)</f>
        <v>152190</v>
      </c>
      <c r="F463" s="16">
        <f>SUM(F464:F473)</f>
        <v>41230.660000000003</v>
      </c>
      <c r="G463" s="16">
        <f>SUM(G464:G473)</f>
        <v>10151.799999999999</v>
      </c>
      <c r="H463" s="17">
        <f t="shared" si="9"/>
        <v>0.27091569748340893</v>
      </c>
    </row>
    <row r="464" spans="1:13" s="55" customFormat="1" ht="25.5">
      <c r="A464" s="85"/>
      <c r="B464" s="91"/>
      <c r="C464" s="31" t="s">
        <v>195</v>
      </c>
      <c r="D464" s="32" t="s">
        <v>196</v>
      </c>
      <c r="E464" s="107">
        <v>1760</v>
      </c>
      <c r="F464" s="107">
        <v>0</v>
      </c>
      <c r="G464" s="107">
        <v>0</v>
      </c>
      <c r="H464" s="92">
        <f t="shared" si="9"/>
        <v>0</v>
      </c>
      <c r="L464" s="136"/>
      <c r="M464" s="136"/>
    </row>
    <row r="465" spans="1:13" s="24" customFormat="1">
      <c r="A465" s="20"/>
      <c r="B465" s="34"/>
      <c r="C465" s="31" t="s">
        <v>197</v>
      </c>
      <c r="D465" s="32" t="s">
        <v>184</v>
      </c>
      <c r="E465" s="107">
        <v>59250</v>
      </c>
      <c r="F465" s="107">
        <v>17891.66</v>
      </c>
      <c r="G465" s="107">
        <v>5717.46</v>
      </c>
      <c r="H465" s="92">
        <f t="shared" si="9"/>
        <v>0.3019689451476793</v>
      </c>
      <c r="L465" s="79"/>
      <c r="M465" s="79"/>
    </row>
    <row r="466" spans="1:13" s="24" customFormat="1">
      <c r="A466" s="20"/>
      <c r="B466" s="34"/>
      <c r="C466" s="31" t="s">
        <v>198</v>
      </c>
      <c r="D466" s="32" t="s">
        <v>185</v>
      </c>
      <c r="E466" s="107">
        <v>10600</v>
      </c>
      <c r="F466" s="107">
        <v>10589.36</v>
      </c>
      <c r="G466" s="107">
        <v>0</v>
      </c>
      <c r="H466" s="92">
        <f t="shared" si="9"/>
        <v>0.99899622641509445</v>
      </c>
      <c r="L466" s="79"/>
      <c r="M466" s="79"/>
    </row>
    <row r="467" spans="1:13" s="24" customFormat="1">
      <c r="A467" s="20"/>
      <c r="B467" s="34"/>
      <c r="C467" s="31" t="s">
        <v>170</v>
      </c>
      <c r="D467" s="32" t="s">
        <v>45</v>
      </c>
      <c r="E467" s="107">
        <v>9500</v>
      </c>
      <c r="F467" s="107">
        <v>1624.38</v>
      </c>
      <c r="G467" s="107">
        <v>3563.95</v>
      </c>
      <c r="H467" s="92">
        <f t="shared" si="9"/>
        <v>0.17098736842105264</v>
      </c>
      <c r="L467" s="79"/>
      <c r="M467" s="79"/>
    </row>
    <row r="468" spans="1:13" s="24" customFormat="1">
      <c r="A468" s="20"/>
      <c r="B468" s="34"/>
      <c r="C468" s="31" t="s">
        <v>171</v>
      </c>
      <c r="D468" s="32" t="s">
        <v>163</v>
      </c>
      <c r="E468" s="107">
        <v>6470</v>
      </c>
      <c r="F468" s="107">
        <v>1416.41</v>
      </c>
      <c r="G468" s="107">
        <v>574.80999999999995</v>
      </c>
      <c r="H468" s="92">
        <f t="shared" si="9"/>
        <v>0.21891962905718704</v>
      </c>
      <c r="L468" s="79"/>
      <c r="M468" s="79"/>
    </row>
    <row r="469" spans="1:13" s="24" customFormat="1">
      <c r="A469" s="20"/>
      <c r="B469" s="34"/>
      <c r="C469" s="31" t="s">
        <v>173</v>
      </c>
      <c r="D469" s="32" t="s">
        <v>11</v>
      </c>
      <c r="E469" s="107">
        <v>28100</v>
      </c>
      <c r="F469" s="107">
        <v>7451.59</v>
      </c>
      <c r="G469" s="107">
        <v>295.58</v>
      </c>
      <c r="H469" s="92">
        <f t="shared" si="9"/>
        <v>0.26518113879003558</v>
      </c>
      <c r="L469" s="79"/>
      <c r="M469" s="79"/>
    </row>
    <row r="470" spans="1:13" s="24" customFormat="1">
      <c r="A470" s="20"/>
      <c r="B470" s="34"/>
      <c r="C470" s="31" t="s">
        <v>201</v>
      </c>
      <c r="D470" s="32" t="s">
        <v>37</v>
      </c>
      <c r="E470" s="107">
        <v>1110</v>
      </c>
      <c r="F470" s="107">
        <v>929</v>
      </c>
      <c r="G470" s="107">
        <v>0</v>
      </c>
      <c r="H470" s="23">
        <f t="shared" si="9"/>
        <v>0.83693693693693694</v>
      </c>
      <c r="L470" s="79"/>
      <c r="M470" s="79"/>
    </row>
    <row r="471" spans="1:13" s="24" customFormat="1">
      <c r="A471" s="20"/>
      <c r="B471" s="34"/>
      <c r="C471" s="31" t="s">
        <v>174</v>
      </c>
      <c r="D471" s="32" t="s">
        <v>13</v>
      </c>
      <c r="E471" s="107">
        <v>19400</v>
      </c>
      <c r="F471" s="107">
        <v>0</v>
      </c>
      <c r="G471" s="107">
        <v>0</v>
      </c>
      <c r="H471" s="23">
        <f t="shared" si="9"/>
        <v>0</v>
      </c>
      <c r="L471" s="79"/>
      <c r="M471" s="79"/>
    </row>
    <row r="472" spans="1:13" s="24" customFormat="1">
      <c r="A472" s="20"/>
      <c r="B472" s="34"/>
      <c r="C472" s="31" t="s">
        <v>175</v>
      </c>
      <c r="D472" s="32" t="s">
        <v>25</v>
      </c>
      <c r="E472" s="107">
        <v>8000</v>
      </c>
      <c r="F472" s="107">
        <v>258.26</v>
      </c>
      <c r="G472" s="107">
        <v>0</v>
      </c>
      <c r="H472" s="23"/>
      <c r="L472" s="79"/>
      <c r="M472" s="79"/>
    </row>
    <row r="473" spans="1:13" s="24" customFormat="1">
      <c r="A473" s="20"/>
      <c r="B473" s="34"/>
      <c r="C473" s="31" t="s">
        <v>176</v>
      </c>
      <c r="D473" s="32" t="s">
        <v>26</v>
      </c>
      <c r="E473" s="107">
        <v>8000</v>
      </c>
      <c r="F473" s="107">
        <v>1070</v>
      </c>
      <c r="G473" s="107">
        <v>0</v>
      </c>
      <c r="H473" s="23">
        <f t="shared" ref="H473:H500" si="10">F473/E473</f>
        <v>0.13375000000000001</v>
      </c>
      <c r="L473" s="79"/>
      <c r="M473" s="79"/>
    </row>
    <row r="474" spans="1:13">
      <c r="A474" s="37">
        <v>921</v>
      </c>
      <c r="B474" s="9"/>
      <c r="C474" s="38"/>
      <c r="D474" s="10" t="s">
        <v>279</v>
      </c>
      <c r="E474" s="93">
        <f>E477+E484+E486+E475</f>
        <v>1662626</v>
      </c>
      <c r="F474" s="93">
        <f>F477+F484+F486+F475</f>
        <v>558671.86</v>
      </c>
      <c r="G474" s="93">
        <f>G477+G484+G486+G475</f>
        <v>16568</v>
      </c>
      <c r="H474" s="29">
        <f t="shared" si="10"/>
        <v>0.33601775745116458</v>
      </c>
    </row>
    <row r="475" spans="1:13">
      <c r="A475" s="13"/>
      <c r="B475" s="123">
        <v>92105</v>
      </c>
      <c r="C475" s="39"/>
      <c r="D475" s="15" t="s">
        <v>326</v>
      </c>
      <c r="E475" s="16">
        <f>E476</f>
        <v>5000</v>
      </c>
      <c r="F475" s="16">
        <f>F476</f>
        <v>0</v>
      </c>
      <c r="G475" s="16">
        <f>G476</f>
        <v>0</v>
      </c>
      <c r="H475" s="17">
        <f t="shared" si="10"/>
        <v>0</v>
      </c>
      <c r="I475" s="113" t="e">
        <f>G475/F475</f>
        <v>#DIV/0!</v>
      </c>
      <c r="J475" s="113" t="e">
        <f>H475/G475</f>
        <v>#DIV/0!</v>
      </c>
    </row>
    <row r="476" spans="1:13" ht="38.25">
      <c r="A476" s="41"/>
      <c r="B476" s="85"/>
      <c r="C476" s="31" t="s">
        <v>285</v>
      </c>
      <c r="D476" s="32" t="s">
        <v>286</v>
      </c>
      <c r="E476" s="107">
        <v>5000</v>
      </c>
      <c r="F476" s="107">
        <v>0</v>
      </c>
      <c r="G476" s="137"/>
      <c r="H476" s="130">
        <f t="shared" si="10"/>
        <v>0</v>
      </c>
    </row>
    <row r="477" spans="1:13">
      <c r="A477" s="13"/>
      <c r="B477" s="123">
        <v>92109</v>
      </c>
      <c r="C477" s="39"/>
      <c r="D477" s="15" t="s">
        <v>280</v>
      </c>
      <c r="E477" s="16">
        <f>SUM(E478:E483)</f>
        <v>1476826</v>
      </c>
      <c r="F477" s="16">
        <f>SUM(F478:F483)</f>
        <v>456271.86</v>
      </c>
      <c r="G477" s="16">
        <f>SUM(G478:G483)</f>
        <v>16568</v>
      </c>
      <c r="H477" s="17">
        <f t="shared" si="10"/>
        <v>0.30895437918888208</v>
      </c>
      <c r="L477" s="80" t="e">
        <f>F474-F483-#REF!</f>
        <v>#REF!</v>
      </c>
    </row>
    <row r="478" spans="1:13" ht="24.75" customHeight="1">
      <c r="A478" s="85"/>
      <c r="B478" s="20"/>
      <c r="C478" s="31" t="s">
        <v>281</v>
      </c>
      <c r="D478" s="32" t="s">
        <v>282</v>
      </c>
      <c r="E478" s="107">
        <v>410000</v>
      </c>
      <c r="F478" s="107">
        <v>221400</v>
      </c>
      <c r="G478" s="107">
        <v>0</v>
      </c>
      <c r="H478" s="23">
        <f t="shared" si="10"/>
        <v>0.54</v>
      </c>
    </row>
    <row r="479" spans="1:13">
      <c r="A479" s="20"/>
      <c r="B479" s="20"/>
      <c r="C479" s="31" t="s">
        <v>173</v>
      </c>
      <c r="D479" s="32" t="s">
        <v>11</v>
      </c>
      <c r="E479" s="107">
        <v>36800</v>
      </c>
      <c r="F479" s="107">
        <v>7462.14</v>
      </c>
      <c r="G479" s="107">
        <v>537.20000000000005</v>
      </c>
      <c r="H479" s="23">
        <f t="shared" si="10"/>
        <v>0.20277554347826088</v>
      </c>
    </row>
    <row r="480" spans="1:13">
      <c r="A480" s="20"/>
      <c r="B480" s="20"/>
      <c r="C480" s="31" t="s">
        <v>179</v>
      </c>
      <c r="D480" s="32" t="s">
        <v>21</v>
      </c>
      <c r="E480" s="107">
        <v>387026</v>
      </c>
      <c r="F480" s="107">
        <v>208499.72</v>
      </c>
      <c r="G480" s="107">
        <v>16030.8</v>
      </c>
      <c r="H480" s="23">
        <f t="shared" si="10"/>
        <v>0.53872277314702377</v>
      </c>
      <c r="L480" s="80" t="e">
        <f>F474-F483-#REF!</f>
        <v>#REF!</v>
      </c>
    </row>
    <row r="481" spans="1:13">
      <c r="A481" s="20"/>
      <c r="B481" s="20"/>
      <c r="C481" s="31" t="s">
        <v>174</v>
      </c>
      <c r="D481" s="32" t="s">
        <v>13</v>
      </c>
      <c r="E481" s="107">
        <v>40000</v>
      </c>
      <c r="F481" s="107">
        <v>18910</v>
      </c>
      <c r="G481" s="107">
        <v>0</v>
      </c>
      <c r="H481" s="23">
        <f t="shared" si="10"/>
        <v>0.47275</v>
      </c>
      <c r="L481" s="80">
        <f>F478+F485+F487+F498</f>
        <v>332992.09000000003</v>
      </c>
    </row>
    <row r="482" spans="1:13">
      <c r="A482" s="20"/>
      <c r="B482" s="20"/>
      <c r="C482" s="31" t="s">
        <v>176</v>
      </c>
      <c r="D482" s="32" t="s">
        <v>26</v>
      </c>
      <c r="E482" s="107">
        <v>3000</v>
      </c>
      <c r="F482" s="107">
        <v>0</v>
      </c>
      <c r="G482" s="107">
        <v>0</v>
      </c>
      <c r="H482" s="23">
        <f t="shared" si="10"/>
        <v>0</v>
      </c>
    </row>
    <row r="483" spans="1:13" ht="25.5">
      <c r="A483" s="20"/>
      <c r="B483" s="20"/>
      <c r="C483" s="31" t="s">
        <v>180</v>
      </c>
      <c r="D483" s="32" t="s">
        <v>160</v>
      </c>
      <c r="E483" s="107">
        <v>600000</v>
      </c>
      <c r="F483" s="107">
        <v>0</v>
      </c>
      <c r="G483" s="107">
        <v>0</v>
      </c>
      <c r="H483" s="23">
        <f t="shared" si="10"/>
        <v>0</v>
      </c>
      <c r="I483" s="6" t="e">
        <f>E483+#REF!+#REF!</f>
        <v>#REF!</v>
      </c>
      <c r="J483" s="6" t="e">
        <f>F483+#REF!+#REF!</f>
        <v>#REF!</v>
      </c>
    </row>
    <row r="484" spans="1:13">
      <c r="A484" s="14"/>
      <c r="B484" s="14">
        <v>92116</v>
      </c>
      <c r="C484" s="39"/>
      <c r="D484" s="15" t="s">
        <v>61</v>
      </c>
      <c r="E484" s="59">
        <f>E485</f>
        <v>180000</v>
      </c>
      <c r="F484" s="59">
        <f>F485</f>
        <v>101600</v>
      </c>
      <c r="G484" s="59">
        <f>G485</f>
        <v>0</v>
      </c>
      <c r="H484" s="17">
        <f t="shared" si="10"/>
        <v>0.56444444444444442</v>
      </c>
    </row>
    <row r="485" spans="1:13" ht="25.5">
      <c r="A485" s="41"/>
      <c r="B485" s="20"/>
      <c r="C485" s="31" t="s">
        <v>281</v>
      </c>
      <c r="D485" s="32" t="s">
        <v>282</v>
      </c>
      <c r="E485" s="107">
        <v>180000</v>
      </c>
      <c r="F485" s="107">
        <v>101600</v>
      </c>
      <c r="G485" s="107">
        <v>0</v>
      </c>
      <c r="H485" s="23">
        <f t="shared" si="10"/>
        <v>0.56444444444444442</v>
      </c>
    </row>
    <row r="486" spans="1:13" s="18" customFormat="1">
      <c r="A486" s="14"/>
      <c r="B486" s="14">
        <v>92195</v>
      </c>
      <c r="C486" s="39"/>
      <c r="D486" s="15" t="s">
        <v>17</v>
      </c>
      <c r="E486" s="84">
        <f>SUM(E487:E487)</f>
        <v>800</v>
      </c>
      <c r="F486" s="84">
        <f>SUM(F487:F487)</f>
        <v>800</v>
      </c>
      <c r="G486" s="84">
        <f>SUM(G487:G487)</f>
        <v>0</v>
      </c>
      <c r="H486" s="17">
        <f t="shared" si="10"/>
        <v>1</v>
      </c>
      <c r="L486" s="127"/>
      <c r="M486" s="127"/>
    </row>
    <row r="487" spans="1:13">
      <c r="A487" s="41"/>
      <c r="B487" s="20"/>
      <c r="C487" s="31" t="s">
        <v>173</v>
      </c>
      <c r="D487" s="32" t="s">
        <v>11</v>
      </c>
      <c r="E487" s="107">
        <v>800</v>
      </c>
      <c r="F487" s="107">
        <v>800</v>
      </c>
      <c r="G487" s="107">
        <v>0</v>
      </c>
      <c r="H487" s="23">
        <f t="shared" si="10"/>
        <v>1</v>
      </c>
    </row>
    <row r="488" spans="1:13">
      <c r="A488" s="9"/>
      <c r="B488" s="9"/>
      <c r="C488" s="38"/>
      <c r="D488" s="10" t="s">
        <v>283</v>
      </c>
      <c r="E488" s="11">
        <f>SUM(E491+E489+E497)</f>
        <v>168998.25</v>
      </c>
      <c r="F488" s="11">
        <f>SUM(F491+F489+F497)</f>
        <v>51899.8</v>
      </c>
      <c r="G488" s="11">
        <f>SUM(G491+G489+G497)</f>
        <v>151.99</v>
      </c>
      <c r="H488" s="29">
        <f t="shared" si="10"/>
        <v>0.30710258834041182</v>
      </c>
    </row>
    <row r="489" spans="1:13">
      <c r="A489" s="123">
        <v>926</v>
      </c>
      <c r="B489" s="14">
        <v>92601</v>
      </c>
      <c r="C489" s="39"/>
      <c r="D489" s="15" t="s">
        <v>131</v>
      </c>
      <c r="E489" s="16">
        <f>SUM(E490:E490)</f>
        <v>50000</v>
      </c>
      <c r="F489" s="16">
        <f>SUM(F490:F490)</f>
        <v>0</v>
      </c>
      <c r="G489" s="16">
        <f>SUM(G490:G490)</f>
        <v>0</v>
      </c>
      <c r="H489" s="17">
        <f t="shared" si="10"/>
        <v>0</v>
      </c>
    </row>
    <row r="490" spans="1:13">
      <c r="A490" s="91"/>
      <c r="B490" s="20"/>
      <c r="C490" s="31" t="s">
        <v>174</v>
      </c>
      <c r="D490" s="32" t="s">
        <v>13</v>
      </c>
      <c r="E490" s="107">
        <v>50000</v>
      </c>
      <c r="F490" s="107">
        <v>0</v>
      </c>
      <c r="G490" s="107">
        <v>0</v>
      </c>
      <c r="H490" s="23">
        <f t="shared" si="10"/>
        <v>0</v>
      </c>
    </row>
    <row r="491" spans="1:13" ht="21.75" customHeight="1">
      <c r="A491" s="13"/>
      <c r="B491" s="123">
        <v>92605</v>
      </c>
      <c r="C491" s="39"/>
      <c r="D491" s="15" t="s">
        <v>284</v>
      </c>
      <c r="E491" s="16">
        <f>SUM(E492:E496)</f>
        <v>79000</v>
      </c>
      <c r="F491" s="16">
        <f>SUM(F492:F496)</f>
        <v>40701.550000000003</v>
      </c>
      <c r="G491" s="16">
        <f>SUM(G492:G496)</f>
        <v>151.99</v>
      </c>
      <c r="H491" s="17">
        <f t="shared" si="10"/>
        <v>0.51520949367088609</v>
      </c>
    </row>
    <row r="492" spans="1:13" ht="38.25">
      <c r="A492" s="40"/>
      <c r="B492" s="20"/>
      <c r="C492" s="31" t="s">
        <v>285</v>
      </c>
      <c r="D492" s="32" t="s">
        <v>286</v>
      </c>
      <c r="E492" s="107">
        <v>65000</v>
      </c>
      <c r="F492" s="107">
        <v>35000</v>
      </c>
      <c r="G492" s="107">
        <v>0</v>
      </c>
      <c r="H492" s="23">
        <f t="shared" si="10"/>
        <v>0.53846153846153844</v>
      </c>
    </row>
    <row r="493" spans="1:13">
      <c r="A493" s="20"/>
      <c r="B493" s="20"/>
      <c r="C493" s="31" t="s">
        <v>173</v>
      </c>
      <c r="D493" s="32" t="s">
        <v>11</v>
      </c>
      <c r="E493" s="107">
        <v>5600</v>
      </c>
      <c r="F493" s="107">
        <v>3373.72</v>
      </c>
      <c r="G493" s="107">
        <v>151.99</v>
      </c>
      <c r="H493" s="23">
        <f t="shared" si="10"/>
        <v>0.60244999999999993</v>
      </c>
    </row>
    <row r="494" spans="1:13">
      <c r="A494" s="20"/>
      <c r="B494" s="20"/>
      <c r="C494" s="31" t="s">
        <v>174</v>
      </c>
      <c r="D494" s="32" t="s">
        <v>13</v>
      </c>
      <c r="E494" s="107">
        <v>7600</v>
      </c>
      <c r="F494" s="107">
        <v>1942.83</v>
      </c>
      <c r="G494" s="107">
        <v>0</v>
      </c>
      <c r="H494" s="23">
        <f t="shared" si="10"/>
        <v>0.25563552631578945</v>
      </c>
    </row>
    <row r="495" spans="1:13">
      <c r="A495" s="20"/>
      <c r="B495" s="20"/>
      <c r="C495" s="31" t="s">
        <v>175</v>
      </c>
      <c r="D495" s="32" t="s">
        <v>25</v>
      </c>
      <c r="E495" s="107">
        <v>300</v>
      </c>
      <c r="F495" s="107">
        <v>0</v>
      </c>
      <c r="G495" s="107">
        <v>0</v>
      </c>
      <c r="H495" s="23">
        <f t="shared" si="10"/>
        <v>0</v>
      </c>
    </row>
    <row r="496" spans="1:13">
      <c r="A496" s="20"/>
      <c r="B496" s="20"/>
      <c r="C496" s="31" t="s">
        <v>176</v>
      </c>
      <c r="D496" s="32" t="s">
        <v>26</v>
      </c>
      <c r="E496" s="107">
        <v>500</v>
      </c>
      <c r="F496" s="107">
        <v>385</v>
      </c>
      <c r="G496" s="107">
        <v>0</v>
      </c>
      <c r="H496" s="23">
        <f t="shared" si="10"/>
        <v>0.77</v>
      </c>
    </row>
    <row r="497" spans="1:10">
      <c r="A497" s="14"/>
      <c r="B497" s="14">
        <v>92695</v>
      </c>
      <c r="C497" s="39"/>
      <c r="D497" s="15" t="s">
        <v>17</v>
      </c>
      <c r="E497" s="84">
        <f>SUM(E498:E499)</f>
        <v>39998.25</v>
      </c>
      <c r="F497" s="84">
        <f>SUM(F498:F499)</f>
        <v>11198.25</v>
      </c>
      <c r="G497" s="84">
        <f>SUM(G498:G499)</f>
        <v>0</v>
      </c>
      <c r="H497" s="17">
        <f t="shared" si="10"/>
        <v>0.27996849862181472</v>
      </c>
    </row>
    <row r="498" spans="1:10">
      <c r="A498" s="20"/>
      <c r="B498" s="41"/>
      <c r="C498" s="31" t="s">
        <v>173</v>
      </c>
      <c r="D498" s="32" t="s">
        <v>11</v>
      </c>
      <c r="E498" s="107">
        <v>27670.09</v>
      </c>
      <c r="F498" s="107">
        <v>9192.09</v>
      </c>
      <c r="G498" s="107">
        <v>0</v>
      </c>
      <c r="H498" s="23">
        <f t="shared" si="10"/>
        <v>0.33220311173545153</v>
      </c>
    </row>
    <row r="499" spans="1:10">
      <c r="A499" s="41"/>
      <c r="B499" s="20"/>
      <c r="C499" s="31" t="s">
        <v>174</v>
      </c>
      <c r="D499" s="32" t="s">
        <v>13</v>
      </c>
      <c r="E499" s="107">
        <v>12328.16</v>
      </c>
      <c r="F499" s="107">
        <v>2006.16</v>
      </c>
      <c r="G499" s="107">
        <v>0</v>
      </c>
      <c r="H499" s="23">
        <f t="shared" si="10"/>
        <v>0.16272988020921209</v>
      </c>
    </row>
    <row r="500" spans="1:10" ht="21" customHeight="1">
      <c r="A500" s="41"/>
      <c r="B500" s="20"/>
      <c r="C500" s="20"/>
      <c r="D500" s="109" t="s">
        <v>62</v>
      </c>
      <c r="E500" s="110">
        <f>E13+E30+E34+E46+E62+E68+E122+E136+E139+E158+E170+E173+E176+E300+E325+E419+E440+E474+E488+E416+E43</f>
        <v>29362320.599999998</v>
      </c>
      <c r="F500" s="110">
        <f>F13+F30+F34+F46+F62+F68+F122+F136+F139+F158+F170+F173+F176+F300+F325+F419+F440+F474+F488+F416+F43</f>
        <v>10041827.639999999</v>
      </c>
      <c r="G500" s="110">
        <f>G13+G30+G34+G46+G62+G68+G122+G136+G139+G158+G170+G173+G176+G300+G325+G419+G440+G474+G488+G416+G43</f>
        <v>497315.67</v>
      </c>
      <c r="H500" s="114">
        <f t="shared" si="10"/>
        <v>0.34199707089908959</v>
      </c>
      <c r="J500" s="56"/>
    </row>
    <row r="501" spans="1:10" ht="11.25" hidden="1" customHeight="1">
      <c r="A501" s="20"/>
    </row>
    <row r="502" spans="1:10" ht="11.25" hidden="1" customHeight="1">
      <c r="A502" s="20"/>
    </row>
    <row r="503" spans="1:10" ht="11.25" customHeight="1"/>
    <row r="504" spans="1:10" ht="11.25" customHeight="1"/>
    <row r="505" spans="1:10" ht="11.25" hidden="1" customHeight="1"/>
    <row r="506" spans="1:10" ht="11.25" hidden="1" customHeight="1"/>
    <row r="507" spans="1:10" ht="11.25" hidden="1" customHeight="1"/>
    <row r="508" spans="1:10" ht="11.25" hidden="1" customHeight="1"/>
    <row r="509" spans="1:10" ht="11.25" hidden="1" customHeight="1"/>
    <row r="510" spans="1:10" ht="11.25" hidden="1" customHeight="1"/>
    <row r="511" spans="1:10" ht="11.25" hidden="1" customHeight="1"/>
    <row r="512" spans="1:10" ht="11.25" hidden="1" customHeight="1"/>
    <row r="513" ht="11.25" hidden="1" customHeight="1"/>
    <row r="514" ht="11.25" hidden="1" customHeight="1"/>
    <row r="515" ht="11.25" hidden="1" customHeight="1"/>
    <row r="516" ht="11.25" hidden="1" customHeight="1"/>
    <row r="517" ht="11.25" hidden="1" customHeight="1"/>
    <row r="518" ht="11.25" hidden="1" customHeight="1"/>
    <row r="519" ht="11.25" hidden="1" customHeight="1"/>
    <row r="520" ht="11.25" hidden="1" customHeight="1"/>
    <row r="521" ht="11.25" hidden="1" customHeight="1"/>
    <row r="522" ht="11.25" hidden="1" customHeight="1"/>
    <row r="523" ht="11.25" hidden="1" customHeight="1"/>
    <row r="524" ht="11.25" hidden="1" customHeight="1"/>
    <row r="525" ht="11.25" hidden="1" customHeight="1"/>
    <row r="526" ht="11.25" hidden="1" customHeight="1"/>
    <row r="527" ht="11.25" hidden="1" customHeight="1"/>
    <row r="528" ht="11.25" hidden="1" customHeight="1"/>
    <row r="529" ht="11.25" hidden="1" customHeight="1"/>
    <row r="530" ht="11.25" hidden="1" customHeight="1"/>
    <row r="531" ht="11.25" hidden="1" customHeight="1"/>
    <row r="532" ht="11.25" hidden="1" customHeight="1"/>
    <row r="533" ht="11.25" hidden="1" customHeight="1"/>
    <row r="534" ht="11.25" hidden="1" customHeight="1"/>
    <row r="535" ht="11.25" hidden="1" customHeight="1"/>
    <row r="536" ht="11.25" hidden="1" customHeight="1"/>
    <row r="537" ht="11.25" hidden="1" customHeight="1"/>
    <row r="538" ht="11.25" hidden="1" customHeight="1"/>
    <row r="539" ht="11.25" hidden="1" customHeight="1"/>
    <row r="540" ht="11.25" hidden="1" customHeight="1"/>
    <row r="541" ht="11.25" hidden="1" customHeight="1"/>
    <row r="542" ht="11.25" hidden="1" customHeight="1"/>
    <row r="543" ht="11.25" customHeight="1"/>
    <row r="544" ht="11.25" hidden="1" customHeight="1"/>
    <row r="545" spans="3:7" ht="11.25" hidden="1" customHeight="1"/>
    <row r="546" spans="3:7" ht="11.25" hidden="1" customHeight="1"/>
    <row r="547" spans="3:7" ht="11.25" hidden="1" customHeight="1"/>
    <row r="548" spans="3:7" ht="11.25" hidden="1" customHeight="1"/>
    <row r="549" spans="3:7" hidden="1"/>
    <row r="550" spans="3:7" hidden="1">
      <c r="C550" s="723" t="s">
        <v>89</v>
      </c>
      <c r="D550" s="724" t="s">
        <v>86</v>
      </c>
      <c r="E550" s="725" t="s">
        <v>87</v>
      </c>
      <c r="F550" s="725" t="s">
        <v>88</v>
      </c>
      <c r="G550" s="726" t="s">
        <v>104</v>
      </c>
    </row>
    <row r="551" spans="3:7" ht="21.75" hidden="1" customHeight="1">
      <c r="C551" s="723"/>
      <c r="D551" s="724"/>
      <c r="E551" s="725"/>
      <c r="F551" s="725"/>
      <c r="G551" s="726"/>
    </row>
    <row r="552" spans="3:7" hidden="1">
      <c r="C552" s="1" t="s">
        <v>4</v>
      </c>
      <c r="D552" s="125" t="s">
        <v>5</v>
      </c>
      <c r="E552" s="126" t="s">
        <v>6</v>
      </c>
      <c r="F552" s="98" t="s">
        <v>7</v>
      </c>
      <c r="G552" s="99" t="s">
        <v>8</v>
      </c>
    </row>
    <row r="553" spans="3:7" ht="26.25" hidden="1" customHeight="1">
      <c r="C553" s="50" t="s">
        <v>4</v>
      </c>
      <c r="D553" s="14" t="s">
        <v>90</v>
      </c>
      <c r="E553" s="84">
        <f>E555+E560</f>
        <v>6555035.2800000003</v>
      </c>
      <c r="F553" s="84">
        <f>F555+F560</f>
        <v>269733.76000000001</v>
      </c>
      <c r="G553" s="113">
        <f>F553/E553</f>
        <v>4.1149093556060924E-2</v>
      </c>
    </row>
    <row r="554" spans="3:7" ht="14.25" hidden="1" customHeight="1">
      <c r="C554" s="21"/>
      <c r="D554" s="122" t="s">
        <v>91</v>
      </c>
      <c r="E554" s="96"/>
      <c r="F554" s="96"/>
      <c r="G554" s="140"/>
    </row>
    <row r="555" spans="3:7" ht="17.25" hidden="1" customHeight="1">
      <c r="C555" s="21" t="s">
        <v>93</v>
      </c>
      <c r="D555" s="102" t="s">
        <v>92</v>
      </c>
      <c r="E555" s="118">
        <f>E17+E37+E42+E57+E58+E109+E110+E142+E155+E199+E235+E259+E299+E302+E305+E396+E418+E446+E462+E483+E291+E445</f>
        <v>6535035.2800000003</v>
      </c>
      <c r="F555" s="118">
        <f>F17+F37+F42+F57+F58+F109+F110+F142+F155+F199+F235+F259+F299+F302+F305+F396+F418+F446+F462+F483+F291+F445</f>
        <v>249733.76000000001</v>
      </c>
      <c r="G555" s="140">
        <f t="shared" ref="G555:G572" si="11">F555/E555</f>
        <v>3.8214600120720386E-2</v>
      </c>
    </row>
    <row r="556" spans="3:7" ht="27" hidden="1" customHeight="1">
      <c r="C556" s="21"/>
      <c r="D556" s="103" t="s">
        <v>157</v>
      </c>
      <c r="E556" s="119">
        <f>E446+E37</f>
        <v>35000</v>
      </c>
      <c r="F556" s="119">
        <f>F446+F37</f>
        <v>17611</v>
      </c>
      <c r="G556" s="140">
        <f t="shared" si="11"/>
        <v>0.5031714285714286</v>
      </c>
    </row>
    <row r="557" spans="3:7" ht="53.25" hidden="1" customHeight="1">
      <c r="C557" s="21" t="s">
        <v>151</v>
      </c>
      <c r="D557" s="94" t="s">
        <v>149</v>
      </c>
      <c r="E557" s="119">
        <v>140000</v>
      </c>
      <c r="F557" s="119">
        <f>F37</f>
        <v>0</v>
      </c>
      <c r="G557" s="140">
        <f t="shared" si="11"/>
        <v>0</v>
      </c>
    </row>
    <row r="558" spans="3:7" ht="42.75" hidden="1" customHeight="1">
      <c r="C558" s="21" t="s">
        <v>152</v>
      </c>
      <c r="D558" s="95" t="s">
        <v>139</v>
      </c>
      <c r="E558" s="119">
        <f>E446</f>
        <v>35000</v>
      </c>
      <c r="F558" s="119">
        <f>F446</f>
        <v>17611</v>
      </c>
      <c r="G558" s="140">
        <f t="shared" si="11"/>
        <v>0.5031714285714286</v>
      </c>
    </row>
    <row r="559" spans="3:7" ht="28.5" hidden="1" customHeight="1">
      <c r="C559" s="21" t="s">
        <v>156</v>
      </c>
      <c r="D559" s="94" t="s">
        <v>150</v>
      </c>
      <c r="E559" s="96">
        <v>5000</v>
      </c>
      <c r="F559" s="119"/>
      <c r="G559" s="140">
        <f t="shared" si="11"/>
        <v>0</v>
      </c>
    </row>
    <row r="560" spans="3:7" ht="23.25" hidden="1" customHeight="1">
      <c r="C560" s="21" t="s">
        <v>94</v>
      </c>
      <c r="D560" s="97" t="s">
        <v>153</v>
      </c>
      <c r="E560" s="118">
        <f>E561</f>
        <v>20000</v>
      </c>
      <c r="F560" s="118">
        <f>F561</f>
        <v>20000</v>
      </c>
      <c r="G560" s="140">
        <f t="shared" si="11"/>
        <v>1</v>
      </c>
    </row>
    <row r="561" spans="3:13" ht="30.75" hidden="1" customHeight="1">
      <c r="C561" s="21" t="s">
        <v>154</v>
      </c>
      <c r="D561" s="95" t="s">
        <v>155</v>
      </c>
      <c r="E561" s="119">
        <v>20000</v>
      </c>
      <c r="F561" s="119">
        <v>20000</v>
      </c>
      <c r="G561" s="140">
        <f t="shared" si="11"/>
        <v>1</v>
      </c>
    </row>
    <row r="562" spans="3:13" hidden="1">
      <c r="C562" s="718"/>
      <c r="D562" s="718"/>
      <c r="E562" s="718"/>
      <c r="F562" s="718"/>
      <c r="G562" s="117"/>
    </row>
    <row r="563" spans="3:13" ht="26.25" hidden="1" customHeight="1">
      <c r="C563" s="14" t="s">
        <v>5</v>
      </c>
      <c r="D563" s="120" t="s">
        <v>106</v>
      </c>
      <c r="E563" s="84">
        <f>E500-E553</f>
        <v>22807285.319999997</v>
      </c>
      <c r="F563" s="84">
        <f>F500-F553</f>
        <v>9772093.879999999</v>
      </c>
      <c r="G563" s="113">
        <f t="shared" si="11"/>
        <v>0.42846370108899923</v>
      </c>
      <c r="I563" s="6"/>
    </row>
    <row r="564" spans="3:13" hidden="1">
      <c r="C564" s="21"/>
      <c r="D564" s="21" t="s">
        <v>95</v>
      </c>
      <c r="E564" s="96"/>
      <c r="F564" s="96"/>
      <c r="G564" s="140"/>
    </row>
    <row r="565" spans="3:13" ht="17.25" hidden="1" customHeight="1">
      <c r="C565" s="21" t="s">
        <v>96</v>
      </c>
      <c r="D565" s="21" t="s">
        <v>68</v>
      </c>
      <c r="E565" s="141">
        <v>7165915.8899999997</v>
      </c>
      <c r="F565" s="141">
        <v>3262270.86</v>
      </c>
      <c r="G565" s="140">
        <f t="shared" si="11"/>
        <v>0.45524827671400425</v>
      </c>
      <c r="L565" s="80">
        <v>6777124.2199999997</v>
      </c>
      <c r="M565" s="80">
        <v>3117453.17</v>
      </c>
    </row>
    <row r="566" spans="3:13" ht="27.75" hidden="1" customHeight="1">
      <c r="C566" s="21" t="s">
        <v>97</v>
      </c>
      <c r="D566" s="104" t="s">
        <v>328</v>
      </c>
      <c r="E566" s="141">
        <v>388791.67</v>
      </c>
      <c r="F566" s="141">
        <v>144817.69</v>
      </c>
      <c r="G566" s="140">
        <f t="shared" si="11"/>
        <v>0.37248146288730932</v>
      </c>
      <c r="L566" s="80">
        <v>348391.67</v>
      </c>
      <c r="M566" s="80">
        <v>122949.69</v>
      </c>
    </row>
    <row r="567" spans="3:13" ht="19.5" hidden="1" customHeight="1">
      <c r="C567" s="85" t="s">
        <v>98</v>
      </c>
      <c r="D567" s="85" t="s">
        <v>107</v>
      </c>
      <c r="E567" s="141">
        <v>1354068</v>
      </c>
      <c r="F567" s="141">
        <v>658184.82999999996</v>
      </c>
      <c r="G567" s="140">
        <f t="shared" si="11"/>
        <v>0.48607959866121936</v>
      </c>
      <c r="L567" s="80">
        <f>E160</f>
        <v>40400</v>
      </c>
      <c r="M567" s="80">
        <f>F160</f>
        <v>21868</v>
      </c>
    </row>
    <row r="568" spans="3:13" ht="41.25" hidden="1" customHeight="1">
      <c r="C568" s="21" t="s">
        <v>99</v>
      </c>
      <c r="D568" s="115" t="s">
        <v>132</v>
      </c>
      <c r="E568" s="141">
        <f>E79+E87+E118+E128+E144+E178+E202+E213+E238+E261+E279+E354+E398+E421+E464</f>
        <v>597360.41</v>
      </c>
      <c r="F568" s="141">
        <f>F79+F87+F118+F128+F144+F178+F202+F213+F238+F261+F279+F354+F398+F421+F464</f>
        <v>307817.58</v>
      </c>
      <c r="G568" s="140">
        <f t="shared" si="11"/>
        <v>0.51529625138699764</v>
      </c>
      <c r="L568" s="80">
        <f>SUM(L565:L567)</f>
        <v>7165915.8899999997</v>
      </c>
      <c r="M568" s="80">
        <f>SUM(M565:M567)</f>
        <v>3262270.86</v>
      </c>
    </row>
    <row r="569" spans="3:13" ht="30" hidden="1" customHeight="1">
      <c r="C569" s="21" t="s">
        <v>100</v>
      </c>
      <c r="D569" s="103" t="s">
        <v>296</v>
      </c>
      <c r="E569" s="96">
        <f>E32+E45+E48+E436+E442+E451+E476+E478+E485+E492</f>
        <v>1268889</v>
      </c>
      <c r="F569" s="96">
        <f>F32+F45+F48+F436+F442+F451+F476+F478+F485+F492</f>
        <v>657423</v>
      </c>
      <c r="G569" s="140">
        <f t="shared" si="11"/>
        <v>0.51810914902721983</v>
      </c>
    </row>
    <row r="570" spans="3:13" ht="21" hidden="1" customHeight="1">
      <c r="C570" s="21" t="s">
        <v>102</v>
      </c>
      <c r="D570" s="21" t="s">
        <v>101</v>
      </c>
      <c r="E570" s="119">
        <f>E172</f>
        <v>130000</v>
      </c>
      <c r="F570" s="119">
        <f>F172</f>
        <v>46484.68</v>
      </c>
      <c r="G570" s="140">
        <f t="shared" si="11"/>
        <v>0.35757446153846156</v>
      </c>
    </row>
    <row r="571" spans="3:13" ht="19.5" hidden="1" customHeight="1">
      <c r="C571" s="21" t="s">
        <v>108</v>
      </c>
      <c r="D571" s="21" t="s">
        <v>103</v>
      </c>
      <c r="E571" s="96">
        <f>E563-E565-E567-E568-E569-E570</f>
        <v>12291052.019999996</v>
      </c>
      <c r="F571" s="96">
        <f>F563-F565-F567-F568-F569-F570</f>
        <v>4839912.93</v>
      </c>
      <c r="G571" s="140">
        <f t="shared" si="11"/>
        <v>0.39377531899828389</v>
      </c>
    </row>
    <row r="572" spans="3:13" ht="32.25" hidden="1" customHeight="1">
      <c r="C572" s="102" t="s">
        <v>6</v>
      </c>
      <c r="D572" s="102" t="s">
        <v>105</v>
      </c>
      <c r="E572" s="100">
        <f>E553+E563</f>
        <v>29362320.599999998</v>
      </c>
      <c r="F572" s="100">
        <f>F553+F563</f>
        <v>10041827.639999999</v>
      </c>
      <c r="G572" s="142">
        <f t="shared" si="11"/>
        <v>0.34199707089908959</v>
      </c>
      <c r="K572" s="80"/>
    </row>
    <row r="573" spans="3:13" hidden="1"/>
    <row r="574" spans="3:13" hidden="1">
      <c r="E574" s="7"/>
    </row>
    <row r="575" spans="3:13" hidden="1">
      <c r="C575" s="712" t="s">
        <v>89</v>
      </c>
      <c r="D575" s="713" t="s">
        <v>86</v>
      </c>
      <c r="E575" s="714" t="s">
        <v>87</v>
      </c>
      <c r="F575" s="714" t="s">
        <v>88</v>
      </c>
      <c r="G575" s="715" t="s">
        <v>104</v>
      </c>
    </row>
    <row r="576" spans="3:13" ht="21" hidden="1" customHeight="1">
      <c r="C576" s="712"/>
      <c r="D576" s="713"/>
      <c r="E576" s="714"/>
      <c r="F576" s="714"/>
      <c r="G576" s="715"/>
    </row>
    <row r="577" spans="1:13" hidden="1">
      <c r="C577" s="1" t="s">
        <v>4</v>
      </c>
      <c r="D577" s="125" t="s">
        <v>5</v>
      </c>
      <c r="E577" s="126" t="s">
        <v>6</v>
      </c>
      <c r="F577" s="98" t="s">
        <v>7</v>
      </c>
      <c r="G577" s="99" t="s">
        <v>8</v>
      </c>
    </row>
    <row r="578" spans="1:13" ht="18" hidden="1" customHeight="1">
      <c r="C578" s="1" t="s">
        <v>4</v>
      </c>
      <c r="D578" s="1" t="s">
        <v>109</v>
      </c>
      <c r="E578" s="100">
        <f>E580+E583+E586+E591</f>
        <v>1329089</v>
      </c>
      <c r="F578" s="100">
        <f>F580+F583+F586+F591</f>
        <v>675034</v>
      </c>
      <c r="G578" s="101">
        <f>F578/E578</f>
        <v>0.50789224799844102</v>
      </c>
    </row>
    <row r="579" spans="1:13" ht="18" hidden="1" customHeight="1">
      <c r="C579" s="122"/>
      <c r="D579" s="122" t="s">
        <v>95</v>
      </c>
      <c r="E579" s="96"/>
      <c r="F579" s="96"/>
      <c r="G579" s="100"/>
    </row>
    <row r="580" spans="1:13" s="18" customFormat="1" ht="18" hidden="1" customHeight="1">
      <c r="A580" s="5"/>
      <c r="C580" s="1" t="s">
        <v>5</v>
      </c>
      <c r="D580" s="102" t="s">
        <v>123</v>
      </c>
      <c r="E580" s="100">
        <f>E581</f>
        <v>599089</v>
      </c>
      <c r="F580" s="100">
        <f>F581</f>
        <v>299423</v>
      </c>
      <c r="G580" s="101">
        <f>F580/E580</f>
        <v>0.49979719206995954</v>
      </c>
      <c r="H580" s="121"/>
      <c r="L580" s="127"/>
      <c r="M580" s="127"/>
    </row>
    <row r="581" spans="1:13" ht="41.25" hidden="1" customHeight="1">
      <c r="C581" s="122" t="s">
        <v>96</v>
      </c>
      <c r="D581" s="103" t="s">
        <v>140</v>
      </c>
      <c r="E581" s="96">
        <f>E32+E442+E451+E48</f>
        <v>599089</v>
      </c>
      <c r="F581" s="96">
        <f>F32+F442+F451+F48</f>
        <v>299423</v>
      </c>
      <c r="G581" s="96"/>
    </row>
    <row r="582" spans="1:13" ht="12.75" hidden="1" customHeight="1">
      <c r="A582" s="18"/>
      <c r="C582" s="709"/>
      <c r="D582" s="710"/>
      <c r="E582" s="710"/>
      <c r="F582" s="710"/>
      <c r="G582" s="711"/>
    </row>
    <row r="583" spans="1:13" ht="18" hidden="1" customHeight="1">
      <c r="C583" s="1">
        <v>3</v>
      </c>
      <c r="D583" s="102" t="s">
        <v>124</v>
      </c>
      <c r="E583" s="100">
        <f>E584</f>
        <v>590000</v>
      </c>
      <c r="F583" s="100">
        <f>F584</f>
        <v>323000</v>
      </c>
      <c r="G583" s="101">
        <f>F583/E583</f>
        <v>0.5474576271186441</v>
      </c>
    </row>
    <row r="584" spans="1:13" ht="29.25" hidden="1" customHeight="1">
      <c r="C584" s="122" t="s">
        <v>110</v>
      </c>
      <c r="D584" s="103" t="s">
        <v>125</v>
      </c>
      <c r="E584" s="96">
        <f>E478+E485</f>
        <v>590000</v>
      </c>
      <c r="F584" s="96">
        <f>F478+F485</f>
        <v>323000</v>
      </c>
      <c r="G584" s="96"/>
    </row>
    <row r="585" spans="1:13" ht="10.5" hidden="1" customHeight="1">
      <c r="C585" s="709"/>
      <c r="D585" s="710"/>
      <c r="E585" s="710"/>
      <c r="F585" s="710"/>
      <c r="G585" s="711"/>
    </row>
    <row r="586" spans="1:13" s="18" customFormat="1" ht="24" hidden="1" customHeight="1">
      <c r="A586" s="5"/>
      <c r="C586" s="1" t="s">
        <v>7</v>
      </c>
      <c r="D586" s="104" t="s">
        <v>327</v>
      </c>
      <c r="E586" s="100">
        <f>SUM(E587:E589)</f>
        <v>75000</v>
      </c>
      <c r="F586" s="100">
        <f>SUM(F587:F589)</f>
        <v>17611</v>
      </c>
      <c r="G586" s="101">
        <f>F586/E586</f>
        <v>0.23481333333333335</v>
      </c>
      <c r="H586" s="121"/>
      <c r="L586" s="127"/>
      <c r="M586" s="127"/>
    </row>
    <row r="587" spans="1:13" s="18" customFormat="1" ht="42.75" hidden="1" customHeight="1">
      <c r="A587" s="5"/>
      <c r="C587" s="122" t="s">
        <v>111</v>
      </c>
      <c r="D587" s="95" t="s">
        <v>139</v>
      </c>
      <c r="E587" s="96">
        <f>E33+E446</f>
        <v>75000</v>
      </c>
      <c r="F587" s="96">
        <f>F33+F446</f>
        <v>17611</v>
      </c>
      <c r="G587" s="100"/>
      <c r="H587" s="121"/>
      <c r="K587" s="5"/>
      <c r="L587" s="80"/>
      <c r="M587" s="80"/>
    </row>
    <row r="588" spans="1:13" s="18" customFormat="1" ht="47.25" hidden="1" customHeight="1">
      <c r="C588" s="122" t="s">
        <v>133</v>
      </c>
      <c r="D588" s="94" t="s">
        <v>294</v>
      </c>
      <c r="E588" s="96"/>
      <c r="F588" s="96">
        <f>F36</f>
        <v>0</v>
      </c>
      <c r="G588" s="100"/>
      <c r="H588" s="121"/>
      <c r="K588" s="5"/>
      <c r="L588" s="80"/>
      <c r="M588" s="80"/>
    </row>
    <row r="589" spans="1:13" s="18" customFormat="1" ht="37.5" hidden="1" customHeight="1">
      <c r="C589" s="122" t="s">
        <v>134</v>
      </c>
      <c r="D589" s="94" t="s">
        <v>295</v>
      </c>
      <c r="E589" s="105">
        <f>E37</f>
        <v>0</v>
      </c>
      <c r="F589" s="105">
        <f>F37</f>
        <v>0</v>
      </c>
      <c r="G589" s="100"/>
      <c r="H589" s="121"/>
      <c r="K589" s="5"/>
      <c r="L589" s="80"/>
      <c r="M589" s="80"/>
    </row>
    <row r="590" spans="1:13" ht="11.25" hidden="1" customHeight="1">
      <c r="A590" s="18"/>
      <c r="C590" s="709"/>
      <c r="D590" s="710"/>
      <c r="E590" s="710"/>
      <c r="F590" s="710"/>
      <c r="G590" s="711"/>
    </row>
    <row r="591" spans="1:13" s="18" customFormat="1" ht="39" hidden="1" customHeight="1">
      <c r="C591" s="1" t="s">
        <v>8</v>
      </c>
      <c r="D591" s="104" t="s">
        <v>135</v>
      </c>
      <c r="E591" s="100">
        <f>E492</f>
        <v>65000</v>
      </c>
      <c r="F591" s="100">
        <f>SUM(F592:F601)</f>
        <v>35000</v>
      </c>
      <c r="G591" s="101">
        <f>F591/E591</f>
        <v>0.53846153846153844</v>
      </c>
      <c r="H591" s="121"/>
      <c r="L591" s="127"/>
      <c r="M591" s="127"/>
    </row>
    <row r="592" spans="1:13" ht="18" hidden="1" customHeight="1">
      <c r="C592" s="122" t="s">
        <v>112</v>
      </c>
      <c r="D592" s="21" t="s">
        <v>121</v>
      </c>
      <c r="E592" s="96">
        <v>5000</v>
      </c>
      <c r="F592" s="96">
        <v>5000</v>
      </c>
      <c r="G592" s="96"/>
    </row>
    <row r="593" spans="1:13" ht="18" hidden="1" customHeight="1">
      <c r="A593" s="18"/>
      <c r="C593" s="122" t="s">
        <v>113</v>
      </c>
      <c r="D593" s="106" t="s">
        <v>126</v>
      </c>
      <c r="E593" s="96">
        <v>6500</v>
      </c>
      <c r="F593" s="96">
        <v>6500</v>
      </c>
      <c r="G593" s="96"/>
    </row>
    <row r="594" spans="1:13" ht="23.25" hidden="1" customHeight="1">
      <c r="C594" s="122" t="s">
        <v>114</v>
      </c>
      <c r="D594" s="103" t="s">
        <v>136</v>
      </c>
      <c r="E594" s="96">
        <v>3500</v>
      </c>
      <c r="F594" s="96">
        <v>3500</v>
      </c>
      <c r="G594" s="96"/>
    </row>
    <row r="595" spans="1:13" ht="26.25" hidden="1" customHeight="1">
      <c r="C595" s="122" t="s">
        <v>115</v>
      </c>
      <c r="D595" s="103" t="s">
        <v>141</v>
      </c>
      <c r="E595" s="96">
        <v>5000</v>
      </c>
      <c r="F595" s="96">
        <v>5000</v>
      </c>
      <c r="G595" s="96"/>
    </row>
    <row r="596" spans="1:13" ht="18" hidden="1" customHeight="1">
      <c r="C596" s="122" t="s">
        <v>116</v>
      </c>
      <c r="D596" s="21" t="s">
        <v>142</v>
      </c>
      <c r="E596" s="96">
        <v>3000</v>
      </c>
      <c r="F596" s="96">
        <v>3000</v>
      </c>
      <c r="G596" s="96"/>
    </row>
    <row r="597" spans="1:13" ht="18" hidden="1" customHeight="1">
      <c r="C597" s="122" t="s">
        <v>117</v>
      </c>
      <c r="D597" s="21" t="s">
        <v>144</v>
      </c>
      <c r="E597" s="96">
        <v>3000</v>
      </c>
      <c r="F597" s="96">
        <v>3000</v>
      </c>
      <c r="G597" s="96"/>
    </row>
    <row r="598" spans="1:13" ht="18.75" hidden="1" customHeight="1">
      <c r="C598" s="122" t="s">
        <v>118</v>
      </c>
      <c r="D598" s="103" t="s">
        <v>143</v>
      </c>
      <c r="E598" s="96">
        <v>3000</v>
      </c>
      <c r="F598" s="96">
        <v>3000</v>
      </c>
      <c r="G598" s="96"/>
    </row>
    <row r="599" spans="1:13" ht="18" hidden="1" customHeight="1">
      <c r="C599" s="122" t="s">
        <v>119</v>
      </c>
      <c r="D599" s="21" t="s">
        <v>122</v>
      </c>
      <c r="E599" s="96">
        <v>2000</v>
      </c>
      <c r="F599" s="96">
        <v>2000</v>
      </c>
      <c r="G599" s="96"/>
    </row>
    <row r="600" spans="1:13" ht="18" hidden="1" customHeight="1">
      <c r="C600" s="122" t="s">
        <v>120</v>
      </c>
      <c r="D600" s="21" t="s">
        <v>148</v>
      </c>
      <c r="E600" s="96">
        <v>2000</v>
      </c>
      <c r="F600" s="96">
        <v>2000</v>
      </c>
      <c r="G600" s="96"/>
      <c r="L600" s="146"/>
      <c r="M600" s="146"/>
    </row>
    <row r="601" spans="1:13" ht="18" hidden="1" customHeight="1">
      <c r="C601" s="122" t="s">
        <v>331</v>
      </c>
      <c r="D601" s="21" t="s">
        <v>332</v>
      </c>
      <c r="E601" s="96">
        <v>2000</v>
      </c>
      <c r="F601" s="96">
        <v>2000</v>
      </c>
      <c r="G601" s="96"/>
      <c r="L601" s="146"/>
      <c r="M601" s="146"/>
    </row>
    <row r="602" spans="1:13" ht="38.25" hidden="1">
      <c r="C602" s="1" t="s">
        <v>64</v>
      </c>
      <c r="D602" s="104" t="s">
        <v>329</v>
      </c>
      <c r="E602" s="100">
        <v>5000</v>
      </c>
      <c r="F602" s="100">
        <v>0</v>
      </c>
      <c r="G602" s="101">
        <f>F602/E602</f>
        <v>0</v>
      </c>
      <c r="L602" s="147"/>
      <c r="M602" s="146"/>
    </row>
    <row r="603" spans="1:13" ht="38.25" hidden="1">
      <c r="C603" s="1" t="s">
        <v>65</v>
      </c>
      <c r="D603" s="104" t="s">
        <v>330</v>
      </c>
      <c r="E603" s="100">
        <v>5000</v>
      </c>
      <c r="F603" s="100">
        <v>0</v>
      </c>
      <c r="G603" s="101">
        <f>F603/E603</f>
        <v>0</v>
      </c>
      <c r="L603" s="146"/>
      <c r="M603" s="146"/>
    </row>
    <row r="604" spans="1:13" hidden="1"/>
    <row r="605" spans="1:13" hidden="1"/>
    <row r="606" spans="1:13" hidden="1"/>
    <row r="607" spans="1:13" hidden="1"/>
    <row r="608" spans="1:13" hidden="1"/>
    <row r="609" hidden="1"/>
    <row r="610" hidden="1"/>
    <row r="611" hidden="1"/>
    <row r="612" hidden="1"/>
    <row r="613" hidden="1"/>
    <row r="614" hidden="1"/>
    <row r="615" hidden="1"/>
    <row r="616" hidden="1"/>
    <row r="617" hidden="1"/>
    <row r="618" hidden="1"/>
    <row r="619" hidden="1"/>
    <row r="620" hidden="1"/>
    <row r="621" hidden="1"/>
    <row r="622" hidden="1"/>
    <row r="623" hidden="1"/>
    <row r="624" hidden="1"/>
    <row r="625" hidden="1"/>
    <row r="626" hidden="1"/>
    <row r="627" hidden="1"/>
    <row r="628" hidden="1"/>
    <row r="629" hidden="1"/>
    <row r="630" hidden="1"/>
    <row r="631" hidden="1"/>
    <row r="632" hidden="1"/>
    <row r="633" hidden="1"/>
    <row r="634" hidden="1"/>
    <row r="635" hidden="1"/>
    <row r="636" hidden="1"/>
    <row r="637" hidden="1"/>
    <row r="638" hidden="1"/>
    <row r="639" hidden="1"/>
    <row r="640" hidden="1"/>
    <row r="641" hidden="1"/>
    <row r="642" hidden="1"/>
    <row r="643" hidden="1"/>
    <row r="644" hidden="1"/>
    <row r="645" hidden="1"/>
    <row r="646" hidden="1"/>
    <row r="647" hidden="1"/>
    <row r="648" hidden="1"/>
    <row r="649" hidden="1"/>
    <row r="650" hidden="1"/>
    <row r="651" hidden="1"/>
    <row r="652" hidden="1"/>
    <row r="653" hidden="1"/>
    <row r="654" hidden="1"/>
    <row r="655" hidden="1"/>
    <row r="656" hidden="1"/>
    <row r="657" hidden="1"/>
    <row r="658" hidden="1"/>
    <row r="659" hidden="1"/>
    <row r="660" hidden="1"/>
    <row r="661" hidden="1"/>
    <row r="662" hidden="1"/>
    <row r="663" hidden="1"/>
    <row r="664" hidden="1"/>
    <row r="665" hidden="1"/>
    <row r="666" hidden="1"/>
    <row r="667" hidden="1"/>
    <row r="668" hidden="1"/>
    <row r="669" hidden="1"/>
    <row r="670" hidden="1"/>
    <row r="671" hidden="1"/>
    <row r="672" hidden="1"/>
    <row r="673" hidden="1"/>
  </sheetData>
  <mergeCells count="20">
    <mergeCell ref="G10:G11"/>
    <mergeCell ref="H10:H11"/>
    <mergeCell ref="C562:F562"/>
    <mergeCell ref="A8:E8"/>
    <mergeCell ref="D10:D11"/>
    <mergeCell ref="E10:E11"/>
    <mergeCell ref="F10:F11"/>
    <mergeCell ref="C550:C551"/>
    <mergeCell ref="D550:D551"/>
    <mergeCell ref="E550:E551"/>
    <mergeCell ref="F550:F551"/>
    <mergeCell ref="G550:G551"/>
    <mergeCell ref="C585:G585"/>
    <mergeCell ref="C590:G590"/>
    <mergeCell ref="C575:C576"/>
    <mergeCell ref="D575:D576"/>
    <mergeCell ref="E575:E576"/>
    <mergeCell ref="F575:F576"/>
    <mergeCell ref="G575:G576"/>
    <mergeCell ref="C582:G58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F30"/>
  <sheetViews>
    <sheetView zoomScaleNormal="100" workbookViewId="0">
      <selection activeCell="AJ11" sqref="AJ11"/>
    </sheetView>
  </sheetViews>
  <sheetFormatPr defaultColWidth="9.140625" defaultRowHeight="12.75"/>
  <cols>
    <col min="1" max="1" width="2.85546875" style="405" customWidth="1"/>
    <col min="2" max="2" width="4.5703125" style="405" customWidth="1"/>
    <col min="3" max="3" width="7.5703125" style="405" customWidth="1"/>
    <col min="4" max="4" width="6.28515625" style="405" customWidth="1"/>
    <col min="5" max="5" width="37.140625" style="405" customWidth="1"/>
    <col min="6" max="6" width="16.140625" style="405" customWidth="1"/>
    <col min="7" max="31" width="0" style="405" hidden="1" customWidth="1"/>
    <col min="32" max="32" width="14.140625" style="405" customWidth="1"/>
    <col min="33" max="16384" width="9.140625" style="405"/>
  </cols>
  <sheetData>
    <row r="1" spans="1:32">
      <c r="A1" s="548"/>
      <c r="B1" s="548"/>
      <c r="C1" s="548"/>
      <c r="D1" s="548"/>
      <c r="E1" s="549" t="s">
        <v>699</v>
      </c>
      <c r="F1" s="550"/>
      <c r="G1" s="550"/>
      <c r="H1" s="550"/>
      <c r="I1" s="550"/>
      <c r="J1" s="548"/>
      <c r="K1" s="548"/>
      <c r="L1" s="548"/>
      <c r="M1" s="548"/>
      <c r="N1" s="548"/>
      <c r="O1" s="548"/>
      <c r="P1" s="548"/>
      <c r="Q1" s="548"/>
      <c r="R1" s="548"/>
      <c r="S1" s="548"/>
      <c r="T1" s="548"/>
      <c r="U1" s="548"/>
      <c r="V1" s="548"/>
      <c r="W1" s="548"/>
      <c r="X1" s="548"/>
      <c r="Y1" s="548"/>
      <c r="Z1" s="548"/>
      <c r="AA1" s="548"/>
      <c r="AB1" s="548"/>
      <c r="AC1" s="548"/>
      <c r="AD1" s="548"/>
      <c r="AE1" s="548"/>
      <c r="AF1" s="548"/>
    </row>
    <row r="2" spans="1:32" ht="12.75" customHeight="1">
      <c r="A2" s="548"/>
      <c r="B2" s="548"/>
      <c r="C2" s="548"/>
      <c r="D2" s="548"/>
      <c r="E2" s="851" t="s">
        <v>778</v>
      </c>
      <c r="F2" s="551"/>
      <c r="G2" s="551"/>
      <c r="H2" s="551"/>
      <c r="I2" s="550"/>
      <c r="J2" s="548"/>
      <c r="K2" s="548"/>
      <c r="L2" s="548"/>
      <c r="M2" s="548"/>
      <c r="N2" s="548"/>
      <c r="O2" s="548"/>
      <c r="P2" s="548"/>
      <c r="Q2" s="548"/>
      <c r="R2" s="548"/>
      <c r="S2" s="548"/>
      <c r="T2" s="548"/>
      <c r="U2" s="548"/>
      <c r="V2" s="548"/>
      <c r="W2" s="548"/>
      <c r="X2" s="548"/>
      <c r="Y2" s="548"/>
      <c r="Z2" s="548"/>
      <c r="AA2" s="548"/>
      <c r="AB2" s="548"/>
      <c r="AC2" s="548"/>
      <c r="AD2" s="548"/>
      <c r="AE2" s="548"/>
      <c r="AF2" s="548"/>
    </row>
    <row r="3" spans="1:32" ht="28.5" customHeight="1">
      <c r="A3" s="548"/>
      <c r="B3" s="548"/>
      <c r="C3" s="548"/>
      <c r="D3" s="548"/>
      <c r="E3" s="851"/>
      <c r="F3" s="551"/>
      <c r="G3" s="551"/>
      <c r="H3" s="551"/>
      <c r="I3" s="550"/>
      <c r="J3" s="548"/>
      <c r="K3" s="548"/>
      <c r="L3" s="548"/>
      <c r="M3" s="548"/>
      <c r="N3" s="548"/>
      <c r="O3" s="548"/>
      <c r="P3" s="548"/>
      <c r="Q3" s="548"/>
      <c r="R3" s="548"/>
      <c r="S3" s="548"/>
      <c r="T3" s="548"/>
      <c r="U3" s="548"/>
      <c r="V3" s="548"/>
      <c r="W3" s="548"/>
      <c r="X3" s="548"/>
      <c r="Y3" s="548"/>
      <c r="Z3" s="548"/>
      <c r="AA3" s="548"/>
      <c r="AB3" s="548"/>
      <c r="AC3" s="548"/>
      <c r="AD3" s="548"/>
      <c r="AE3" s="548"/>
      <c r="AF3" s="548"/>
    </row>
    <row r="4" spans="1:32" ht="14.25" customHeight="1">
      <c r="A4" s="548"/>
      <c r="B4" s="548"/>
      <c r="C4" s="548"/>
      <c r="D4" s="548"/>
      <c r="E4" s="852"/>
      <c r="F4" s="852"/>
      <c r="G4" s="852"/>
      <c r="H4" s="852"/>
      <c r="I4" s="852"/>
      <c r="J4" s="548"/>
      <c r="K4" s="548"/>
      <c r="L4" s="548"/>
      <c r="M4" s="548"/>
      <c r="N4" s="548"/>
      <c r="O4" s="548"/>
      <c r="P4" s="548"/>
      <c r="Q4" s="548"/>
      <c r="R4" s="548"/>
      <c r="S4" s="548"/>
      <c r="T4" s="548"/>
      <c r="U4" s="548"/>
      <c r="V4" s="548"/>
      <c r="W4" s="548"/>
      <c r="X4" s="548"/>
      <c r="Y4" s="548"/>
      <c r="Z4" s="548"/>
      <c r="AA4" s="548"/>
      <c r="AB4" s="548"/>
      <c r="AC4" s="548"/>
      <c r="AD4" s="548"/>
      <c r="AE4" s="548"/>
      <c r="AF4" s="548"/>
    </row>
    <row r="5" spans="1:32" ht="14.25" customHeight="1">
      <c r="A5" s="548"/>
      <c r="B5" s="548"/>
      <c r="C5" s="548"/>
      <c r="D5" s="548"/>
      <c r="E5" s="552"/>
      <c r="F5" s="552"/>
      <c r="G5" s="552"/>
      <c r="H5" s="552"/>
      <c r="I5" s="552"/>
      <c r="J5" s="548"/>
      <c r="K5" s="548"/>
      <c r="L5" s="548"/>
      <c r="M5" s="548"/>
      <c r="N5" s="548"/>
      <c r="O5" s="548"/>
      <c r="P5" s="548"/>
      <c r="Q5" s="548"/>
      <c r="R5" s="548"/>
      <c r="S5" s="548"/>
      <c r="T5" s="548"/>
      <c r="U5" s="548"/>
      <c r="V5" s="548"/>
      <c r="W5" s="548"/>
      <c r="X5" s="548"/>
      <c r="Y5" s="548"/>
      <c r="Z5" s="548"/>
      <c r="AA5" s="548"/>
      <c r="AB5" s="548"/>
      <c r="AC5" s="548"/>
      <c r="AD5" s="548"/>
      <c r="AE5" s="548"/>
      <c r="AF5" s="548"/>
    </row>
    <row r="6" spans="1:32" ht="32.25" customHeight="1">
      <c r="A6" s="848" t="s">
        <v>710</v>
      </c>
      <c r="B6" s="848"/>
      <c r="C6" s="848"/>
      <c r="D6" s="848"/>
      <c r="E6" s="848"/>
      <c r="F6" s="848"/>
      <c r="G6" s="553"/>
      <c r="H6" s="849"/>
      <c r="I6" s="849"/>
      <c r="J6" s="849"/>
      <c r="K6" s="849"/>
      <c r="L6" s="849"/>
      <c r="M6" s="553"/>
      <c r="N6" s="548"/>
      <c r="O6" s="548"/>
      <c r="P6" s="548"/>
      <c r="Q6" s="548"/>
      <c r="R6" s="548"/>
      <c r="S6" s="548"/>
      <c r="T6" s="548"/>
      <c r="U6" s="548"/>
      <c r="V6" s="548"/>
      <c r="W6" s="548"/>
      <c r="X6" s="548"/>
      <c r="Y6" s="548"/>
      <c r="Z6" s="548"/>
      <c r="AA6" s="548"/>
      <c r="AB6" s="548"/>
      <c r="AC6" s="548"/>
      <c r="AD6" s="548"/>
      <c r="AE6" s="548"/>
      <c r="AF6" s="548"/>
    </row>
    <row r="7" spans="1:32" ht="12.75" customHeight="1">
      <c r="A7" s="850"/>
      <c r="B7" s="850"/>
      <c r="C7" s="850"/>
      <c r="D7" s="850"/>
      <c r="E7" s="850"/>
      <c r="F7" s="850"/>
      <c r="G7" s="553"/>
      <c r="H7" s="553"/>
      <c r="I7" s="553"/>
      <c r="J7" s="553"/>
      <c r="K7" s="548"/>
      <c r="L7" s="548"/>
      <c r="M7" s="548"/>
      <c r="N7" s="548"/>
      <c r="O7" s="548"/>
      <c r="P7" s="548"/>
      <c r="Q7" s="548"/>
      <c r="R7" s="548"/>
      <c r="S7" s="548"/>
      <c r="T7" s="548"/>
      <c r="U7" s="548"/>
      <c r="V7" s="548"/>
      <c r="W7" s="548"/>
      <c r="X7" s="548"/>
      <c r="Y7" s="548"/>
      <c r="Z7" s="548"/>
      <c r="AA7" s="548"/>
      <c r="AB7" s="548"/>
      <c r="AC7" s="548"/>
      <c r="AD7" s="548"/>
      <c r="AE7" s="548"/>
      <c r="AF7" s="548"/>
    </row>
    <row r="8" spans="1:32" hidden="1">
      <c r="A8" s="548"/>
      <c r="B8" s="548"/>
      <c r="C8" s="548"/>
      <c r="D8" s="548"/>
      <c r="E8" s="548"/>
      <c r="F8" s="548"/>
      <c r="G8" s="548"/>
      <c r="H8" s="548"/>
      <c r="I8" s="548"/>
      <c r="J8" s="548"/>
      <c r="K8" s="548"/>
      <c r="L8" s="548"/>
      <c r="M8" s="548"/>
      <c r="N8" s="548"/>
      <c r="O8" s="548"/>
      <c r="P8" s="548"/>
      <c r="Q8" s="548"/>
      <c r="R8" s="548"/>
      <c r="S8" s="548"/>
      <c r="T8" s="548"/>
      <c r="U8" s="548"/>
      <c r="V8" s="548"/>
      <c r="W8" s="548"/>
      <c r="X8" s="548"/>
      <c r="Y8" s="548"/>
      <c r="Z8" s="548"/>
      <c r="AA8" s="548"/>
      <c r="AB8" s="548"/>
      <c r="AC8" s="548"/>
      <c r="AD8" s="548"/>
      <c r="AE8" s="548"/>
      <c r="AF8" s="548"/>
    </row>
    <row r="9" spans="1:32" ht="13.5" thickBot="1">
      <c r="A9" s="548"/>
      <c r="B9" s="548"/>
      <c r="C9" s="548"/>
      <c r="D9" s="548"/>
      <c r="E9" s="548"/>
      <c r="F9" s="554" t="s">
        <v>466</v>
      </c>
      <c r="G9" s="548"/>
      <c r="H9" s="548"/>
      <c r="I9" s="548"/>
      <c r="J9" s="548"/>
      <c r="K9" s="548"/>
      <c r="L9" s="548"/>
      <c r="M9" s="548"/>
      <c r="N9" s="548"/>
      <c r="O9" s="548"/>
      <c r="P9" s="548"/>
      <c r="Q9" s="548"/>
      <c r="R9" s="548"/>
      <c r="S9" s="548"/>
      <c r="T9" s="548"/>
      <c r="U9" s="548"/>
      <c r="V9" s="548"/>
      <c r="W9" s="548"/>
      <c r="X9" s="548"/>
      <c r="Y9" s="548"/>
      <c r="Z9" s="548"/>
      <c r="AA9" s="548"/>
      <c r="AB9" s="548"/>
      <c r="AC9" s="548"/>
      <c r="AD9" s="548"/>
      <c r="AE9" s="548"/>
      <c r="AF9" s="548"/>
    </row>
    <row r="10" spans="1:32" ht="26.25" customHeight="1">
      <c r="A10" s="584" t="s">
        <v>467</v>
      </c>
      <c r="B10" s="585" t="s">
        <v>69</v>
      </c>
      <c r="C10" s="585" t="s">
        <v>468</v>
      </c>
      <c r="D10" s="585" t="s">
        <v>498</v>
      </c>
      <c r="E10" s="585" t="s">
        <v>70</v>
      </c>
      <c r="F10" s="586" t="s">
        <v>728</v>
      </c>
      <c r="G10" s="587"/>
      <c r="H10" s="587"/>
      <c r="I10" s="587"/>
      <c r="J10" s="587"/>
      <c r="K10" s="587"/>
      <c r="L10" s="588"/>
      <c r="M10" s="588"/>
      <c r="N10" s="588"/>
      <c r="O10" s="588"/>
      <c r="P10" s="588"/>
      <c r="Q10" s="588"/>
      <c r="R10" s="588"/>
      <c r="S10" s="588"/>
      <c r="T10" s="588"/>
      <c r="U10" s="588"/>
      <c r="V10" s="588"/>
      <c r="W10" s="588"/>
      <c r="X10" s="588"/>
      <c r="Y10" s="588"/>
      <c r="Z10" s="588"/>
      <c r="AA10" s="588"/>
      <c r="AB10" s="588"/>
      <c r="AC10" s="588"/>
      <c r="AD10" s="588"/>
      <c r="AE10" s="588"/>
      <c r="AF10" s="589" t="s">
        <v>729</v>
      </c>
    </row>
    <row r="11" spans="1:32" s="406" customFormat="1" ht="16.5" customHeight="1">
      <c r="A11" s="555" t="s">
        <v>4</v>
      </c>
      <c r="B11" s="556" t="s">
        <v>5</v>
      </c>
      <c r="C11" s="556" t="s">
        <v>6</v>
      </c>
      <c r="D11" s="556" t="s">
        <v>7</v>
      </c>
      <c r="E11" s="556" t="s">
        <v>8</v>
      </c>
      <c r="F11" s="556" t="s">
        <v>64</v>
      </c>
      <c r="G11" s="556"/>
      <c r="H11" s="557"/>
      <c r="I11" s="556"/>
      <c r="J11" s="556"/>
      <c r="K11" s="556"/>
      <c r="L11" s="556"/>
      <c r="M11" s="556"/>
      <c r="N11" s="556"/>
      <c r="O11" s="556"/>
      <c r="P11" s="556"/>
      <c r="Q11" s="556"/>
      <c r="R11" s="556"/>
      <c r="S11" s="556"/>
      <c r="T11" s="556"/>
      <c r="U11" s="556"/>
      <c r="V11" s="556"/>
      <c r="W11" s="556"/>
      <c r="X11" s="556"/>
      <c r="Y11" s="556"/>
      <c r="Z11" s="556"/>
      <c r="AA11" s="556"/>
      <c r="AB11" s="556"/>
      <c r="AC11" s="556"/>
      <c r="AD11" s="556"/>
      <c r="AE11" s="556"/>
      <c r="AF11" s="558" t="s">
        <v>65</v>
      </c>
    </row>
    <row r="12" spans="1:32" s="407" customFormat="1" ht="27" customHeight="1">
      <c r="A12" s="579"/>
      <c r="B12" s="573">
        <v>900</v>
      </c>
      <c r="C12" s="573"/>
      <c r="D12" s="573"/>
      <c r="E12" s="574" t="s">
        <v>275</v>
      </c>
      <c r="F12" s="575">
        <f>F18</f>
        <v>20000</v>
      </c>
      <c r="G12" s="575" t="e">
        <f>G18+#REF!</f>
        <v>#REF!</v>
      </c>
      <c r="H12" s="575" t="e">
        <f>H18+#REF!</f>
        <v>#REF!</v>
      </c>
      <c r="I12" s="575" t="e">
        <f>I18+#REF!</f>
        <v>#REF!</v>
      </c>
      <c r="J12" s="575" t="e">
        <f>J18+#REF!</f>
        <v>#REF!</v>
      </c>
      <c r="K12" s="575" t="e">
        <f>K18+#REF!</f>
        <v>#REF!</v>
      </c>
      <c r="L12" s="575" t="e">
        <f>L18+#REF!</f>
        <v>#REF!</v>
      </c>
      <c r="M12" s="575" t="e">
        <f>M18+#REF!</f>
        <v>#REF!</v>
      </c>
      <c r="N12" s="575" t="e">
        <f>N18+#REF!</f>
        <v>#REF!</v>
      </c>
      <c r="O12" s="575" t="e">
        <f>O18+#REF!</f>
        <v>#REF!</v>
      </c>
      <c r="P12" s="575" t="e">
        <f>P18+#REF!</f>
        <v>#REF!</v>
      </c>
      <c r="Q12" s="575" t="e">
        <f>Q18+#REF!</f>
        <v>#REF!</v>
      </c>
      <c r="R12" s="575" t="e">
        <f>R18+#REF!</f>
        <v>#REF!</v>
      </c>
      <c r="S12" s="575" t="e">
        <f>S18+#REF!</f>
        <v>#REF!</v>
      </c>
      <c r="T12" s="575" t="e">
        <f>T18+#REF!</f>
        <v>#REF!</v>
      </c>
      <c r="U12" s="575" t="e">
        <f>U18+#REF!</f>
        <v>#REF!</v>
      </c>
      <c r="V12" s="575" t="e">
        <f>V18+#REF!</f>
        <v>#REF!</v>
      </c>
      <c r="W12" s="575" t="e">
        <f>W18+#REF!</f>
        <v>#REF!</v>
      </c>
      <c r="X12" s="575" t="e">
        <f>X18+#REF!</f>
        <v>#REF!</v>
      </c>
      <c r="Y12" s="575" t="e">
        <f>Y18+#REF!</f>
        <v>#REF!</v>
      </c>
      <c r="Z12" s="575" t="e">
        <f>Z18+#REF!</f>
        <v>#REF!</v>
      </c>
      <c r="AA12" s="575" t="e">
        <f>AA18+#REF!</f>
        <v>#REF!</v>
      </c>
      <c r="AB12" s="575" t="e">
        <f>AB18+#REF!</f>
        <v>#REF!</v>
      </c>
      <c r="AC12" s="575" t="e">
        <f>AC18+#REF!</f>
        <v>#REF!</v>
      </c>
      <c r="AD12" s="575" t="e">
        <f>AD18+#REF!</f>
        <v>#REF!</v>
      </c>
      <c r="AE12" s="575" t="e">
        <f>AE18+#REF!</f>
        <v>#REF!</v>
      </c>
      <c r="AF12" s="590">
        <f>AF18+AF21</f>
        <v>20000</v>
      </c>
    </row>
    <row r="13" spans="1:32" s="408" customFormat="1" ht="20.100000000000001" hidden="1" customHeight="1">
      <c r="A13" s="559" t="s">
        <v>4</v>
      </c>
      <c r="B13" s="560"/>
      <c r="C13" s="560">
        <v>90004</v>
      </c>
      <c r="D13" s="560"/>
      <c r="E13" s="561" t="s">
        <v>59</v>
      </c>
      <c r="F13" s="562">
        <f>SUM(F14:F15)</f>
        <v>0</v>
      </c>
      <c r="G13" s="563"/>
      <c r="H13" s="563"/>
      <c r="I13" s="563"/>
      <c r="J13" s="563"/>
      <c r="K13" s="563"/>
      <c r="L13" s="564"/>
      <c r="M13" s="564"/>
      <c r="N13" s="564"/>
      <c r="O13" s="564"/>
      <c r="P13" s="564"/>
      <c r="Q13" s="564"/>
      <c r="R13" s="564"/>
      <c r="S13" s="564"/>
      <c r="T13" s="564"/>
      <c r="U13" s="564"/>
      <c r="V13" s="564"/>
      <c r="W13" s="564"/>
      <c r="X13" s="564"/>
      <c r="Y13" s="564"/>
      <c r="Z13" s="564"/>
      <c r="AA13" s="564"/>
      <c r="AB13" s="564"/>
      <c r="AC13" s="564"/>
      <c r="AD13" s="564"/>
      <c r="AE13" s="564"/>
      <c r="AF13" s="565"/>
    </row>
    <row r="14" spans="1:32" ht="15" hidden="1" customHeight="1">
      <c r="A14" s="559"/>
      <c r="B14" s="566"/>
      <c r="C14" s="567"/>
      <c r="D14" s="464" t="s">
        <v>173</v>
      </c>
      <c r="E14" s="568" t="s">
        <v>11</v>
      </c>
      <c r="F14" s="569"/>
      <c r="G14" s="570"/>
      <c r="H14" s="570"/>
      <c r="I14" s="570"/>
      <c r="J14" s="570"/>
      <c r="K14" s="570"/>
      <c r="L14" s="571"/>
      <c r="M14" s="571"/>
      <c r="N14" s="571"/>
      <c r="O14" s="571"/>
      <c r="P14" s="571"/>
      <c r="Q14" s="571"/>
      <c r="R14" s="571"/>
      <c r="S14" s="571"/>
      <c r="T14" s="571"/>
      <c r="U14" s="571"/>
      <c r="V14" s="571"/>
      <c r="W14" s="571"/>
      <c r="X14" s="571"/>
      <c r="Y14" s="571"/>
      <c r="Z14" s="571"/>
      <c r="AA14" s="571"/>
      <c r="AB14" s="571"/>
      <c r="AC14" s="571"/>
      <c r="AD14" s="571"/>
      <c r="AE14" s="571"/>
      <c r="AF14" s="572"/>
    </row>
    <row r="15" spans="1:32" ht="15" hidden="1" customHeight="1">
      <c r="A15" s="559"/>
      <c r="B15" s="566"/>
      <c r="C15" s="566"/>
      <c r="D15" s="464" t="s">
        <v>174</v>
      </c>
      <c r="E15" s="568" t="s">
        <v>13</v>
      </c>
      <c r="F15" s="569"/>
      <c r="G15" s="570"/>
      <c r="H15" s="570"/>
      <c r="I15" s="570"/>
      <c r="J15" s="570"/>
      <c r="K15" s="570"/>
      <c r="L15" s="571"/>
      <c r="M15" s="571"/>
      <c r="N15" s="571"/>
      <c r="O15" s="571"/>
      <c r="P15" s="571"/>
      <c r="Q15" s="571"/>
      <c r="R15" s="571"/>
      <c r="S15" s="571"/>
      <c r="T15" s="571"/>
      <c r="U15" s="571"/>
      <c r="V15" s="571"/>
      <c r="W15" s="571"/>
      <c r="X15" s="571"/>
      <c r="Y15" s="571"/>
      <c r="Z15" s="571"/>
      <c r="AA15" s="571"/>
      <c r="AB15" s="571"/>
      <c r="AC15" s="571"/>
      <c r="AD15" s="571"/>
      <c r="AE15" s="571"/>
      <c r="AF15" s="572"/>
    </row>
    <row r="16" spans="1:32" s="408" customFormat="1" ht="20.100000000000001" hidden="1" customHeight="1">
      <c r="A16" s="559"/>
      <c r="B16" s="560"/>
      <c r="C16" s="560">
        <v>90006</v>
      </c>
      <c r="D16" s="560"/>
      <c r="E16" s="561" t="s">
        <v>499</v>
      </c>
      <c r="F16" s="562">
        <f>F17</f>
        <v>0</v>
      </c>
      <c r="G16" s="563"/>
      <c r="H16" s="563"/>
      <c r="I16" s="563"/>
      <c r="J16" s="563"/>
      <c r="K16" s="563"/>
      <c r="L16" s="564"/>
      <c r="M16" s="564"/>
      <c r="N16" s="564"/>
      <c r="O16" s="564"/>
      <c r="P16" s="564"/>
      <c r="Q16" s="564"/>
      <c r="R16" s="564"/>
      <c r="S16" s="564"/>
      <c r="T16" s="564"/>
      <c r="U16" s="564"/>
      <c r="V16" s="564"/>
      <c r="W16" s="564"/>
      <c r="X16" s="564"/>
      <c r="Y16" s="564"/>
      <c r="Z16" s="564"/>
      <c r="AA16" s="564"/>
      <c r="AB16" s="564"/>
      <c r="AC16" s="564"/>
      <c r="AD16" s="564"/>
      <c r="AE16" s="564"/>
      <c r="AF16" s="565"/>
    </row>
    <row r="17" spans="1:32" s="408" customFormat="1" ht="56.25" hidden="1" customHeight="1">
      <c r="A17" s="559"/>
      <c r="B17" s="567"/>
      <c r="C17" s="567"/>
      <c r="D17" s="464" t="s">
        <v>500</v>
      </c>
      <c r="E17" s="568" t="s">
        <v>501</v>
      </c>
      <c r="F17" s="569"/>
      <c r="G17" s="563"/>
      <c r="H17" s="563"/>
      <c r="I17" s="563"/>
      <c r="J17" s="563"/>
      <c r="K17" s="563"/>
      <c r="L17" s="564"/>
      <c r="M17" s="564"/>
      <c r="N17" s="564"/>
      <c r="O17" s="564"/>
      <c r="P17" s="564"/>
      <c r="Q17" s="564"/>
      <c r="R17" s="564"/>
      <c r="S17" s="564"/>
      <c r="T17" s="564"/>
      <c r="U17" s="564"/>
      <c r="V17" s="564"/>
      <c r="W17" s="564"/>
      <c r="X17" s="564"/>
      <c r="Y17" s="564"/>
      <c r="Z17" s="564"/>
      <c r="AA17" s="564"/>
      <c r="AB17" s="564"/>
      <c r="AC17" s="564"/>
      <c r="AD17" s="564"/>
      <c r="AE17" s="564"/>
      <c r="AF17" s="565"/>
    </row>
    <row r="18" spans="1:32" s="408" customFormat="1" ht="48.75" customHeight="1">
      <c r="A18" s="591"/>
      <c r="B18" s="560"/>
      <c r="C18" s="560">
        <v>90019</v>
      </c>
      <c r="D18" s="560"/>
      <c r="E18" s="561" t="s">
        <v>764</v>
      </c>
      <c r="F18" s="562">
        <f>SUM(F19:F19)</f>
        <v>20000</v>
      </c>
      <c r="G18" s="592"/>
      <c r="H18" s="592"/>
      <c r="I18" s="592"/>
      <c r="J18" s="592"/>
      <c r="K18" s="592"/>
      <c r="L18" s="593"/>
      <c r="M18" s="593"/>
      <c r="N18" s="593"/>
      <c r="O18" s="593"/>
      <c r="P18" s="593"/>
      <c r="Q18" s="593"/>
      <c r="R18" s="593"/>
      <c r="S18" s="593"/>
      <c r="T18" s="593"/>
      <c r="U18" s="593"/>
      <c r="V18" s="593"/>
      <c r="W18" s="593"/>
      <c r="X18" s="593"/>
      <c r="Y18" s="593"/>
      <c r="Z18" s="593"/>
      <c r="AA18" s="593"/>
      <c r="AB18" s="593"/>
      <c r="AC18" s="593"/>
      <c r="AD18" s="593"/>
      <c r="AE18" s="593"/>
      <c r="AF18" s="594"/>
    </row>
    <row r="19" spans="1:32" ht="26.25" customHeight="1">
      <c r="A19" s="578"/>
      <c r="B19" s="567"/>
      <c r="C19" s="567"/>
      <c r="D19" s="688" t="s">
        <v>654</v>
      </c>
      <c r="E19" s="577" t="s">
        <v>652</v>
      </c>
      <c r="F19" s="569">
        <v>20000</v>
      </c>
      <c r="G19" s="570"/>
      <c r="H19" s="570"/>
      <c r="I19" s="570"/>
      <c r="J19" s="570"/>
      <c r="K19" s="570"/>
      <c r="L19" s="571"/>
      <c r="M19" s="571"/>
      <c r="N19" s="571"/>
      <c r="O19" s="571"/>
      <c r="P19" s="571"/>
      <c r="Q19" s="571"/>
      <c r="R19" s="571"/>
      <c r="S19" s="571"/>
      <c r="T19" s="571"/>
      <c r="U19" s="571"/>
      <c r="V19" s="571"/>
      <c r="W19" s="571"/>
      <c r="X19" s="571"/>
      <c r="Y19" s="571"/>
      <c r="Z19" s="571"/>
      <c r="AA19" s="571"/>
      <c r="AB19" s="571"/>
      <c r="AC19" s="571"/>
      <c r="AD19" s="571"/>
      <c r="AE19" s="571"/>
      <c r="AF19" s="572"/>
    </row>
    <row r="20" spans="1:32" ht="27.75" customHeight="1">
      <c r="A20" s="665"/>
      <c r="B20" s="666" t="s">
        <v>539</v>
      </c>
      <c r="C20" s="580"/>
      <c r="D20" s="580"/>
      <c r="E20" s="580" t="s">
        <v>158</v>
      </c>
      <c r="F20" s="580"/>
      <c r="G20" s="580"/>
      <c r="H20" s="580"/>
      <c r="I20" s="580"/>
      <c r="J20" s="580"/>
      <c r="K20" s="580"/>
      <c r="L20" s="580"/>
      <c r="M20" s="580"/>
      <c r="N20" s="580"/>
      <c r="O20" s="580"/>
      <c r="P20" s="580"/>
      <c r="Q20" s="580"/>
      <c r="R20" s="580"/>
      <c r="S20" s="580"/>
      <c r="T20" s="580"/>
      <c r="U20" s="580"/>
      <c r="V20" s="580"/>
      <c r="W20" s="580"/>
      <c r="X20" s="580"/>
      <c r="Y20" s="580"/>
      <c r="Z20" s="580"/>
      <c r="AA20" s="580"/>
      <c r="AB20" s="580"/>
      <c r="AC20" s="580"/>
      <c r="AD20" s="580"/>
      <c r="AE20" s="580"/>
      <c r="AF20" s="576">
        <f>AF21</f>
        <v>20000</v>
      </c>
    </row>
    <row r="21" spans="1:32" ht="27.75" customHeight="1">
      <c r="A21" s="595"/>
      <c r="B21" s="595"/>
      <c r="C21" s="596" t="s">
        <v>543</v>
      </c>
      <c r="D21" s="595"/>
      <c r="E21" s="597" t="s">
        <v>159</v>
      </c>
      <c r="F21" s="595"/>
      <c r="G21" s="595"/>
      <c r="H21" s="595"/>
      <c r="I21" s="595"/>
      <c r="J21" s="595"/>
      <c r="K21" s="595"/>
      <c r="L21" s="595"/>
      <c r="M21" s="595"/>
      <c r="N21" s="595"/>
      <c r="O21" s="595"/>
      <c r="P21" s="595"/>
      <c r="Q21" s="595"/>
      <c r="R21" s="595"/>
      <c r="S21" s="595"/>
      <c r="T21" s="595"/>
      <c r="U21" s="595"/>
      <c r="V21" s="595"/>
      <c r="W21" s="595"/>
      <c r="X21" s="595"/>
      <c r="Y21" s="595"/>
      <c r="Z21" s="595"/>
      <c r="AA21" s="595"/>
      <c r="AB21" s="595"/>
      <c r="AC21" s="595"/>
      <c r="AD21" s="595"/>
      <c r="AE21" s="595"/>
      <c r="AF21" s="593">
        <f>AF22</f>
        <v>20000</v>
      </c>
    </row>
    <row r="22" spans="1:32" ht="63.75" customHeight="1">
      <c r="A22" s="581"/>
      <c r="B22" s="581"/>
      <c r="C22" s="581"/>
      <c r="D22" s="581">
        <v>6230</v>
      </c>
      <c r="E22" s="465" t="s">
        <v>501</v>
      </c>
      <c r="F22" s="581"/>
      <c r="G22" s="581"/>
      <c r="H22" s="581"/>
      <c r="I22" s="581"/>
      <c r="J22" s="581"/>
      <c r="K22" s="581"/>
      <c r="L22" s="581"/>
      <c r="M22" s="581"/>
      <c r="N22" s="581"/>
      <c r="O22" s="581"/>
      <c r="P22" s="581"/>
      <c r="Q22" s="581"/>
      <c r="R22" s="581"/>
      <c r="S22" s="581"/>
      <c r="T22" s="581"/>
      <c r="U22" s="581"/>
      <c r="V22" s="581"/>
      <c r="W22" s="581"/>
      <c r="X22" s="581"/>
      <c r="Y22" s="581"/>
      <c r="Z22" s="581"/>
      <c r="AA22" s="581"/>
      <c r="AB22" s="581"/>
      <c r="AC22" s="581"/>
      <c r="AD22" s="581"/>
      <c r="AE22" s="581"/>
      <c r="AF22" s="571">
        <f>AF23</f>
        <v>20000</v>
      </c>
    </row>
    <row r="23" spans="1:32" ht="45.95" customHeight="1">
      <c r="A23" s="581"/>
      <c r="B23" s="581"/>
      <c r="C23" s="581"/>
      <c r="D23" s="581"/>
      <c r="E23" s="582" t="s">
        <v>711</v>
      </c>
      <c r="F23" s="581"/>
      <c r="G23" s="581"/>
      <c r="H23" s="581"/>
      <c r="I23" s="581"/>
      <c r="J23" s="581"/>
      <c r="K23" s="581"/>
      <c r="L23" s="581"/>
      <c r="M23" s="581"/>
      <c r="N23" s="581"/>
      <c r="O23" s="581"/>
      <c r="P23" s="581"/>
      <c r="Q23" s="581"/>
      <c r="R23" s="581"/>
      <c r="S23" s="581"/>
      <c r="T23" s="581"/>
      <c r="U23" s="581"/>
      <c r="V23" s="581"/>
      <c r="W23" s="581"/>
      <c r="X23" s="581"/>
      <c r="Y23" s="581"/>
      <c r="Z23" s="581"/>
      <c r="AA23" s="581"/>
      <c r="AB23" s="581"/>
      <c r="AC23" s="581"/>
      <c r="AD23" s="581"/>
      <c r="AE23" s="581"/>
      <c r="AF23" s="571">
        <v>20000</v>
      </c>
    </row>
    <row r="24" spans="1:32">
      <c r="A24" s="548"/>
      <c r="B24" s="548"/>
      <c r="C24" s="548"/>
      <c r="D24" s="548"/>
      <c r="E24" s="548"/>
      <c r="F24" s="548"/>
      <c r="G24" s="548"/>
      <c r="H24" s="548"/>
      <c r="I24" s="548"/>
      <c r="J24" s="548"/>
      <c r="K24" s="548"/>
      <c r="L24" s="548"/>
      <c r="M24" s="548"/>
      <c r="N24" s="548"/>
      <c r="O24" s="548"/>
      <c r="P24" s="548"/>
      <c r="Q24" s="548"/>
      <c r="R24" s="548"/>
      <c r="S24" s="548"/>
      <c r="T24" s="548"/>
      <c r="U24" s="548"/>
      <c r="V24" s="548"/>
      <c r="W24" s="548"/>
      <c r="X24" s="548"/>
      <c r="Y24" s="548"/>
      <c r="Z24" s="548"/>
      <c r="AA24" s="548"/>
      <c r="AB24" s="548"/>
      <c r="AC24" s="548"/>
      <c r="AD24" s="548"/>
      <c r="AE24" s="548"/>
      <c r="AF24" s="583"/>
    </row>
    <row r="25" spans="1:32">
      <c r="A25" s="548"/>
      <c r="B25" s="548"/>
      <c r="C25" s="548"/>
      <c r="D25" s="548"/>
      <c r="E25" s="548"/>
      <c r="F25" s="548"/>
      <c r="G25" s="548"/>
      <c r="H25" s="548"/>
      <c r="I25" s="548"/>
      <c r="J25" s="548"/>
      <c r="K25" s="548"/>
      <c r="L25" s="548"/>
      <c r="M25" s="548"/>
      <c r="N25" s="548"/>
      <c r="O25" s="548"/>
      <c r="P25" s="548"/>
      <c r="Q25" s="548"/>
      <c r="R25" s="548"/>
      <c r="S25" s="548"/>
      <c r="T25" s="548"/>
      <c r="U25" s="548"/>
      <c r="V25" s="548"/>
      <c r="W25" s="548"/>
      <c r="X25" s="548"/>
      <c r="Y25" s="548"/>
      <c r="Z25" s="548"/>
      <c r="AA25" s="548"/>
      <c r="AB25" s="548"/>
      <c r="AC25" s="548"/>
      <c r="AD25" s="548"/>
      <c r="AE25" s="548"/>
      <c r="AF25" s="583"/>
    </row>
    <row r="26" spans="1:32">
      <c r="A26" s="548"/>
      <c r="B26" s="548"/>
      <c r="C26" s="548"/>
      <c r="D26" s="548"/>
      <c r="E26" s="548"/>
      <c r="F26" s="548"/>
      <c r="G26" s="548"/>
      <c r="H26" s="548"/>
      <c r="I26" s="548"/>
      <c r="J26" s="548"/>
      <c r="K26" s="548"/>
      <c r="L26" s="548"/>
      <c r="M26" s="548"/>
      <c r="N26" s="548"/>
      <c r="O26" s="548"/>
      <c r="P26" s="548"/>
      <c r="Q26" s="548"/>
      <c r="R26" s="548"/>
      <c r="S26" s="548"/>
      <c r="T26" s="548"/>
      <c r="U26" s="548"/>
      <c r="V26" s="548"/>
      <c r="W26" s="548"/>
      <c r="X26" s="548"/>
      <c r="Y26" s="548"/>
      <c r="Z26" s="548"/>
      <c r="AA26" s="548"/>
      <c r="AB26" s="548"/>
      <c r="AC26" s="548"/>
      <c r="AD26" s="548"/>
      <c r="AE26" s="548"/>
      <c r="AF26" s="548"/>
    </row>
    <row r="27" spans="1:32">
      <c r="A27" s="548"/>
      <c r="B27" s="548"/>
      <c r="C27" s="548"/>
      <c r="D27" s="548"/>
      <c r="E27" s="548"/>
      <c r="F27" s="548"/>
      <c r="G27" s="548"/>
      <c r="H27" s="548"/>
      <c r="I27" s="548"/>
      <c r="J27" s="548"/>
      <c r="K27" s="548"/>
      <c r="L27" s="548"/>
      <c r="M27" s="548"/>
      <c r="N27" s="548"/>
      <c r="O27" s="548"/>
      <c r="P27" s="548"/>
      <c r="Q27" s="548"/>
      <c r="R27" s="548"/>
      <c r="S27" s="548"/>
      <c r="T27" s="548"/>
      <c r="U27" s="548"/>
      <c r="V27" s="548"/>
      <c r="W27" s="548"/>
      <c r="X27" s="548"/>
      <c r="Y27" s="548"/>
      <c r="Z27" s="548"/>
      <c r="AA27" s="548"/>
      <c r="AB27" s="548"/>
      <c r="AC27" s="548"/>
      <c r="AD27" s="548"/>
      <c r="AE27" s="548"/>
      <c r="AF27" s="548"/>
    </row>
    <row r="28" spans="1:32">
      <c r="A28" s="548"/>
      <c r="B28" s="548"/>
      <c r="C28" s="548"/>
      <c r="D28" s="548"/>
      <c r="E28" s="548"/>
      <c r="F28" s="548"/>
      <c r="G28" s="548"/>
      <c r="H28" s="548"/>
      <c r="I28" s="548"/>
      <c r="J28" s="548"/>
      <c r="K28" s="548"/>
      <c r="L28" s="548"/>
      <c r="M28" s="548"/>
      <c r="N28" s="548"/>
      <c r="O28" s="548"/>
      <c r="P28" s="548"/>
      <c r="Q28" s="548"/>
      <c r="R28" s="548"/>
      <c r="S28" s="548"/>
      <c r="T28" s="548"/>
      <c r="U28" s="548"/>
      <c r="V28" s="548"/>
      <c r="W28" s="548"/>
      <c r="X28" s="548"/>
      <c r="Y28" s="548"/>
      <c r="Z28" s="548"/>
      <c r="AA28" s="548"/>
      <c r="AB28" s="548"/>
      <c r="AC28" s="548"/>
      <c r="AD28" s="548"/>
      <c r="AE28" s="548"/>
      <c r="AF28" s="548"/>
    </row>
    <row r="29" spans="1:32">
      <c r="A29" s="548"/>
      <c r="B29" s="548"/>
      <c r="C29" s="548"/>
      <c r="D29" s="548"/>
      <c r="E29" s="548"/>
      <c r="F29" s="548"/>
      <c r="G29" s="548"/>
      <c r="H29" s="548"/>
      <c r="I29" s="548"/>
      <c r="J29" s="548"/>
      <c r="K29" s="548"/>
      <c r="L29" s="548"/>
      <c r="M29" s="548"/>
      <c r="N29" s="548"/>
      <c r="O29" s="548"/>
      <c r="P29" s="548"/>
      <c r="Q29" s="548"/>
      <c r="R29" s="548"/>
      <c r="S29" s="548"/>
      <c r="T29" s="548"/>
      <c r="U29" s="548"/>
      <c r="V29" s="548"/>
      <c r="W29" s="548"/>
      <c r="X29" s="548"/>
      <c r="Y29" s="548"/>
      <c r="Z29" s="548"/>
      <c r="AA29" s="548"/>
      <c r="AB29" s="548"/>
      <c r="AC29" s="548"/>
      <c r="AD29" s="548"/>
      <c r="AE29" s="548"/>
      <c r="AF29" s="548"/>
    </row>
    <row r="30" spans="1:32">
      <c r="A30" s="548"/>
      <c r="B30" s="548"/>
      <c r="C30" s="548"/>
      <c r="D30" s="548"/>
      <c r="E30" s="548"/>
      <c r="F30" s="548"/>
      <c r="G30" s="548"/>
      <c r="H30" s="548"/>
      <c r="I30" s="548"/>
      <c r="J30" s="548"/>
      <c r="K30" s="548"/>
      <c r="L30" s="548"/>
      <c r="M30" s="548"/>
      <c r="N30" s="548"/>
      <c r="O30" s="548"/>
      <c r="P30" s="548"/>
      <c r="Q30" s="548"/>
      <c r="R30" s="548"/>
      <c r="S30" s="548"/>
      <c r="T30" s="548"/>
      <c r="U30" s="548"/>
      <c r="V30" s="548"/>
      <c r="W30" s="548"/>
      <c r="X30" s="548"/>
      <c r="Y30" s="548"/>
      <c r="Z30" s="548"/>
      <c r="AA30" s="548"/>
      <c r="AB30" s="548"/>
      <c r="AC30" s="548"/>
      <c r="AD30" s="548"/>
      <c r="AE30" s="548"/>
      <c r="AF30" s="548"/>
    </row>
  </sheetData>
  <mergeCells count="5">
    <mergeCell ref="A6:F6"/>
    <mergeCell ref="H6:L6"/>
    <mergeCell ref="A7:F7"/>
    <mergeCell ref="E2:E3"/>
    <mergeCell ref="E4:I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Q65"/>
  <sheetViews>
    <sheetView zoomScaleNormal="100" workbookViewId="0">
      <selection activeCell="M28" sqref="M28"/>
    </sheetView>
  </sheetViews>
  <sheetFormatPr defaultColWidth="9.140625" defaultRowHeight="12.75"/>
  <cols>
    <col min="1" max="1" width="5.85546875" style="5" customWidth="1"/>
    <col min="2" max="2" width="6.5703125" style="5" customWidth="1"/>
    <col min="3" max="3" width="2.7109375" style="5" hidden="1" customWidth="1"/>
    <col min="4" max="4" width="5.85546875" style="416" customWidth="1"/>
    <col min="5" max="5" width="36.85546875" style="427" customWidth="1"/>
    <col min="6" max="6" width="43.5703125" style="417" customWidth="1"/>
    <col min="7" max="7" width="11" style="5" customWidth="1"/>
    <col min="8" max="8" width="9.7109375" style="5" customWidth="1"/>
    <col min="9" max="9" width="12.42578125" style="5" customWidth="1"/>
    <col min="10" max="10" width="9.85546875" style="5" bestFit="1" customWidth="1"/>
    <col min="11" max="16384" width="9.140625" style="5"/>
  </cols>
  <sheetData>
    <row r="1" spans="1:9">
      <c r="A1" s="469"/>
      <c r="B1" s="469"/>
      <c r="C1" s="469"/>
      <c r="D1" s="598"/>
      <c r="E1" s="599"/>
      <c r="F1" s="600"/>
      <c r="G1" s="549" t="s">
        <v>700</v>
      </c>
      <c r="H1" s="661"/>
      <c r="I1" s="661"/>
    </row>
    <row r="2" spans="1:9" ht="26.25" customHeight="1">
      <c r="A2" s="469"/>
      <c r="B2" s="469"/>
      <c r="C2" s="469"/>
      <c r="D2" s="598"/>
      <c r="E2" s="599"/>
      <c r="F2" s="600"/>
      <c r="G2" s="853" t="s">
        <v>778</v>
      </c>
      <c r="H2" s="853"/>
      <c r="I2" s="853"/>
    </row>
    <row r="3" spans="1:9" ht="9.75" customHeight="1">
      <c r="A3" s="469"/>
      <c r="B3" s="469"/>
      <c r="C3" s="469"/>
      <c r="D3" s="598"/>
      <c r="E3" s="599"/>
      <c r="F3" s="600"/>
      <c r="G3" s="853"/>
      <c r="H3" s="853"/>
      <c r="I3" s="853"/>
    </row>
    <row r="4" spans="1:9" ht="16.5" customHeight="1">
      <c r="A4" s="469"/>
      <c r="B4" s="469"/>
      <c r="C4" s="469"/>
      <c r="D4" s="598"/>
      <c r="E4" s="599"/>
      <c r="F4" s="600"/>
      <c r="G4" s="853"/>
      <c r="H4" s="853"/>
      <c r="I4" s="853"/>
    </row>
    <row r="5" spans="1:9" ht="30.75" customHeight="1" thickBot="1">
      <c r="A5" s="856" t="s">
        <v>735</v>
      </c>
      <c r="B5" s="856"/>
      <c r="C5" s="856"/>
      <c r="D5" s="856"/>
      <c r="E5" s="856"/>
      <c r="F5" s="856"/>
      <c r="G5" s="856"/>
      <c r="H5" s="856"/>
      <c r="I5" s="856"/>
    </row>
    <row r="6" spans="1:9">
      <c r="A6" s="857" t="s">
        <v>69</v>
      </c>
      <c r="B6" s="859" t="s">
        <v>484</v>
      </c>
      <c r="C6" s="859"/>
      <c r="D6" s="854" t="s">
        <v>512</v>
      </c>
      <c r="E6" s="859" t="s">
        <v>492</v>
      </c>
      <c r="F6" s="859" t="s">
        <v>533</v>
      </c>
      <c r="G6" s="859" t="s">
        <v>486</v>
      </c>
      <c r="H6" s="859"/>
      <c r="I6" s="861"/>
    </row>
    <row r="7" spans="1:9">
      <c r="A7" s="858"/>
      <c r="B7" s="860"/>
      <c r="C7" s="860"/>
      <c r="D7" s="855"/>
      <c r="E7" s="860"/>
      <c r="F7" s="860"/>
      <c r="G7" s="868" t="s">
        <v>487</v>
      </c>
      <c r="H7" s="868"/>
      <c r="I7" s="869"/>
    </row>
    <row r="8" spans="1:9" ht="22.5" customHeight="1">
      <c r="A8" s="858"/>
      <c r="B8" s="860"/>
      <c r="C8" s="860"/>
      <c r="D8" s="855"/>
      <c r="E8" s="860"/>
      <c r="F8" s="860"/>
      <c r="G8" s="662" t="s">
        <v>488</v>
      </c>
      <c r="H8" s="662" t="s">
        <v>489</v>
      </c>
      <c r="I8" s="663" t="s">
        <v>490</v>
      </c>
    </row>
    <row r="9" spans="1:9" s="430" customFormat="1">
      <c r="A9" s="601">
        <v>1</v>
      </c>
      <c r="B9" s="875">
        <v>2</v>
      </c>
      <c r="C9" s="875"/>
      <c r="D9" s="664">
        <v>3</v>
      </c>
      <c r="E9" s="664">
        <v>4</v>
      </c>
      <c r="F9" s="664">
        <v>5</v>
      </c>
      <c r="G9" s="664">
        <v>6</v>
      </c>
      <c r="H9" s="664">
        <v>7</v>
      </c>
      <c r="I9" s="602">
        <v>8</v>
      </c>
    </row>
    <row r="10" spans="1:9" ht="22.5" customHeight="1">
      <c r="A10" s="870" t="s">
        <v>491</v>
      </c>
      <c r="B10" s="871"/>
      <c r="C10" s="871"/>
      <c r="D10" s="872"/>
      <c r="E10" s="609" t="s">
        <v>492</v>
      </c>
      <c r="F10" s="603" t="s">
        <v>533</v>
      </c>
      <c r="G10" s="604">
        <f>SUM(G11:G20)</f>
        <v>585930</v>
      </c>
      <c r="H10" s="604">
        <f>SUM(H11:H20)</f>
        <v>0</v>
      </c>
      <c r="I10" s="604">
        <f>SUM(I11:I20)</f>
        <v>616324</v>
      </c>
    </row>
    <row r="11" spans="1:9" ht="19.5" customHeight="1">
      <c r="A11" s="610">
        <v>921</v>
      </c>
      <c r="B11" s="611">
        <v>92109</v>
      </c>
      <c r="C11" s="611">
        <v>92109</v>
      </c>
      <c r="D11" s="611">
        <v>2480</v>
      </c>
      <c r="E11" s="612" t="s">
        <v>650</v>
      </c>
      <c r="F11" s="613" t="s">
        <v>535</v>
      </c>
      <c r="G11" s="614">
        <v>412715</v>
      </c>
      <c r="H11" s="615"/>
      <c r="I11" s="616"/>
    </row>
    <row r="12" spans="1:9" ht="21" customHeight="1">
      <c r="A12" s="610">
        <v>921</v>
      </c>
      <c r="B12" s="611">
        <v>92116</v>
      </c>
      <c r="C12" s="611">
        <v>92116</v>
      </c>
      <c r="D12" s="611">
        <v>2480</v>
      </c>
      <c r="E12" s="612" t="s">
        <v>598</v>
      </c>
      <c r="F12" s="613" t="s">
        <v>534</v>
      </c>
      <c r="G12" s="614">
        <v>173215</v>
      </c>
      <c r="H12" s="615"/>
      <c r="I12" s="616"/>
    </row>
    <row r="13" spans="1:9" ht="30" hidden="1" customHeight="1">
      <c r="A13" s="611">
        <v>600</v>
      </c>
      <c r="B13" s="611">
        <v>60014</v>
      </c>
      <c r="C13" s="611"/>
      <c r="D13" s="611">
        <v>2710</v>
      </c>
      <c r="E13" s="612" t="s">
        <v>658</v>
      </c>
      <c r="F13" s="613" t="s">
        <v>686</v>
      </c>
      <c r="G13" s="617"/>
      <c r="H13" s="615"/>
      <c r="I13" s="618">
        <v>0</v>
      </c>
    </row>
    <row r="14" spans="1:9" ht="50.25" hidden="1" customHeight="1">
      <c r="A14" s="611">
        <v>600</v>
      </c>
      <c r="B14" s="611">
        <v>60014</v>
      </c>
      <c r="C14" s="611"/>
      <c r="D14" s="611">
        <v>6300</v>
      </c>
      <c r="E14" s="612" t="s">
        <v>658</v>
      </c>
      <c r="F14" s="613" t="s">
        <v>677</v>
      </c>
      <c r="G14" s="617"/>
      <c r="H14" s="615"/>
      <c r="I14" s="618">
        <v>0</v>
      </c>
    </row>
    <row r="15" spans="1:9" ht="30" hidden="1" customHeight="1">
      <c r="A15" s="611">
        <v>600</v>
      </c>
      <c r="B15" s="611">
        <v>60014</v>
      </c>
      <c r="C15" s="611"/>
      <c r="D15" s="611">
        <v>6300</v>
      </c>
      <c r="E15" s="612" t="s">
        <v>658</v>
      </c>
      <c r="F15" s="613" t="s">
        <v>688</v>
      </c>
      <c r="G15" s="617"/>
      <c r="H15" s="615"/>
      <c r="I15" s="618">
        <v>0</v>
      </c>
    </row>
    <row r="16" spans="1:9" ht="30" hidden="1" customHeight="1">
      <c r="A16" s="611">
        <v>600</v>
      </c>
      <c r="B16" s="611">
        <v>60014</v>
      </c>
      <c r="C16" s="611"/>
      <c r="D16" s="611">
        <v>6300</v>
      </c>
      <c r="E16" s="612" t="s">
        <v>658</v>
      </c>
      <c r="F16" s="613" t="s">
        <v>689</v>
      </c>
      <c r="G16" s="617"/>
      <c r="H16" s="615"/>
      <c r="I16" s="618">
        <v>0</v>
      </c>
    </row>
    <row r="17" spans="1:10" ht="22.5" customHeight="1">
      <c r="A17" s="611">
        <v>600</v>
      </c>
      <c r="B17" s="611">
        <v>60014</v>
      </c>
      <c r="C17" s="611"/>
      <c r="D17" s="611">
        <v>6300</v>
      </c>
      <c r="E17" s="612" t="s">
        <v>658</v>
      </c>
      <c r="F17" s="613" t="s">
        <v>713</v>
      </c>
      <c r="G17" s="617"/>
      <c r="H17" s="615"/>
      <c r="I17" s="618">
        <v>100000</v>
      </c>
    </row>
    <row r="18" spans="1:10" ht="38.1" customHeight="1">
      <c r="A18" s="611">
        <v>600</v>
      </c>
      <c r="B18" s="611">
        <v>60014</v>
      </c>
      <c r="C18" s="611"/>
      <c r="D18" s="611">
        <v>6300</v>
      </c>
      <c r="E18" s="612" t="s">
        <v>658</v>
      </c>
      <c r="F18" s="613" t="s">
        <v>714</v>
      </c>
      <c r="G18" s="617"/>
      <c r="H18" s="615"/>
      <c r="I18" s="618">
        <v>454744</v>
      </c>
    </row>
    <row r="19" spans="1:10" s="55" customFormat="1" ht="31.5" customHeight="1">
      <c r="A19" s="611">
        <v>754</v>
      </c>
      <c r="B19" s="611">
        <v>75404</v>
      </c>
      <c r="C19" s="611"/>
      <c r="D19" s="611">
        <v>2300</v>
      </c>
      <c r="E19" s="612" t="s">
        <v>685</v>
      </c>
      <c r="F19" s="613" t="s">
        <v>684</v>
      </c>
      <c r="G19" s="617"/>
      <c r="H19" s="615"/>
      <c r="I19" s="618">
        <v>5000</v>
      </c>
    </row>
    <row r="20" spans="1:10" ht="39.75" customHeight="1">
      <c r="A20" s="611">
        <v>851</v>
      </c>
      <c r="B20" s="611">
        <v>85149</v>
      </c>
      <c r="C20" s="611"/>
      <c r="D20" s="611">
        <v>2780</v>
      </c>
      <c r="E20" s="612" t="s">
        <v>661</v>
      </c>
      <c r="F20" s="613" t="s">
        <v>662</v>
      </c>
      <c r="G20" s="617"/>
      <c r="H20" s="615"/>
      <c r="I20" s="618">
        <v>56580</v>
      </c>
    </row>
    <row r="21" spans="1:10" ht="38.25" customHeight="1">
      <c r="A21" s="870" t="s">
        <v>495</v>
      </c>
      <c r="B21" s="871"/>
      <c r="C21" s="871"/>
      <c r="D21" s="872"/>
      <c r="E21" s="603" t="s">
        <v>492</v>
      </c>
      <c r="F21" s="603" t="s">
        <v>533</v>
      </c>
      <c r="G21" s="604">
        <f>SUM(G22:G49)</f>
        <v>512920</v>
      </c>
      <c r="H21" s="604">
        <f>SUM(H22:H49)</f>
        <v>0</v>
      </c>
      <c r="I21" s="604">
        <f>SUM(I22:I49)</f>
        <v>474055</v>
      </c>
      <c r="J21" s="80"/>
    </row>
    <row r="22" spans="1:10" s="55" customFormat="1" ht="24" customHeight="1">
      <c r="A22" s="619" t="s">
        <v>539</v>
      </c>
      <c r="B22" s="620" t="s">
        <v>540</v>
      </c>
      <c r="C22" s="620"/>
      <c r="D22" s="620" t="s">
        <v>545</v>
      </c>
      <c r="E22" s="612" t="s">
        <v>542</v>
      </c>
      <c r="F22" s="613" t="s">
        <v>541</v>
      </c>
      <c r="G22" s="617"/>
      <c r="H22" s="615"/>
      <c r="I22" s="621">
        <v>30000</v>
      </c>
    </row>
    <row r="23" spans="1:10" s="55" customFormat="1" ht="24" customHeight="1">
      <c r="A23" s="619" t="s">
        <v>539</v>
      </c>
      <c r="B23" s="620" t="s">
        <v>543</v>
      </c>
      <c r="C23" s="620"/>
      <c r="D23" s="620" t="s">
        <v>500</v>
      </c>
      <c r="E23" s="612" t="s">
        <v>712</v>
      </c>
      <c r="F23" s="613" t="s">
        <v>711</v>
      </c>
      <c r="G23" s="617"/>
      <c r="H23" s="615"/>
      <c r="I23" s="621">
        <v>30000</v>
      </c>
    </row>
    <row r="24" spans="1:10" s="55" customFormat="1" ht="27.75" customHeight="1">
      <c r="A24" s="619" t="s">
        <v>666</v>
      </c>
      <c r="B24" s="620" t="s">
        <v>667</v>
      </c>
      <c r="C24" s="620"/>
      <c r="D24" s="620" t="s">
        <v>210</v>
      </c>
      <c r="E24" s="612" t="s">
        <v>668</v>
      </c>
      <c r="F24" s="613" t="s">
        <v>669</v>
      </c>
      <c r="G24" s="617"/>
      <c r="H24" s="615"/>
      <c r="I24" s="621">
        <v>2750</v>
      </c>
    </row>
    <row r="25" spans="1:10" s="55" customFormat="1" ht="25.5" customHeight="1">
      <c r="A25" s="619" t="s">
        <v>608</v>
      </c>
      <c r="B25" s="620" t="s">
        <v>609</v>
      </c>
      <c r="C25" s="620"/>
      <c r="D25" s="620" t="s">
        <v>285</v>
      </c>
      <c r="E25" s="612" t="s">
        <v>610</v>
      </c>
      <c r="F25" s="613" t="s">
        <v>611</v>
      </c>
      <c r="G25" s="617"/>
      <c r="H25" s="615"/>
      <c r="I25" s="621">
        <v>8000</v>
      </c>
    </row>
    <row r="26" spans="1:10" s="55" customFormat="1" ht="22.5" customHeight="1">
      <c r="A26" s="619" t="s">
        <v>608</v>
      </c>
      <c r="B26" s="620" t="s">
        <v>609</v>
      </c>
      <c r="C26" s="620"/>
      <c r="D26" s="620" t="s">
        <v>285</v>
      </c>
      <c r="E26" s="612" t="s">
        <v>610</v>
      </c>
      <c r="F26" s="613" t="s">
        <v>612</v>
      </c>
      <c r="G26" s="617"/>
      <c r="H26" s="615"/>
      <c r="I26" s="621">
        <v>8000</v>
      </c>
    </row>
    <row r="27" spans="1:10" s="55" customFormat="1" ht="22.5" customHeight="1">
      <c r="A27" s="619" t="s">
        <v>608</v>
      </c>
      <c r="B27" s="620" t="s">
        <v>609</v>
      </c>
      <c r="C27" s="620"/>
      <c r="D27" s="620" t="s">
        <v>285</v>
      </c>
      <c r="E27" s="612" t="s">
        <v>610</v>
      </c>
      <c r="F27" s="613" t="s">
        <v>674</v>
      </c>
      <c r="G27" s="617"/>
      <c r="H27" s="615"/>
      <c r="I27" s="621">
        <v>5000</v>
      </c>
    </row>
    <row r="28" spans="1:10" s="55" customFormat="1" ht="22.5" customHeight="1">
      <c r="A28" s="619" t="s">
        <v>608</v>
      </c>
      <c r="B28" s="620" t="s">
        <v>609</v>
      </c>
      <c r="C28" s="620"/>
      <c r="D28" s="620" t="s">
        <v>285</v>
      </c>
      <c r="E28" s="612" t="s">
        <v>610</v>
      </c>
      <c r="F28" s="613" t="s">
        <v>613</v>
      </c>
      <c r="G28" s="617"/>
      <c r="H28" s="615"/>
      <c r="I28" s="621">
        <v>5000</v>
      </c>
    </row>
    <row r="29" spans="1:10" s="55" customFormat="1" ht="26.25" customHeight="1">
      <c r="A29" s="610">
        <v>801</v>
      </c>
      <c r="B29" s="611">
        <v>80101</v>
      </c>
      <c r="C29" s="611"/>
      <c r="D29" s="611">
        <v>2590</v>
      </c>
      <c r="E29" s="612" t="s">
        <v>599</v>
      </c>
      <c r="F29" s="613" t="s">
        <v>600</v>
      </c>
      <c r="G29" s="614">
        <v>139840</v>
      </c>
      <c r="H29" s="615"/>
      <c r="I29" s="616"/>
    </row>
    <row r="30" spans="1:10" s="55" customFormat="1" ht="28.5" hidden="1" customHeight="1">
      <c r="A30" s="610">
        <v>801</v>
      </c>
      <c r="B30" s="611">
        <v>80101</v>
      </c>
      <c r="C30" s="611"/>
      <c r="D30" s="611">
        <v>2830</v>
      </c>
      <c r="E30" s="612" t="s">
        <v>599</v>
      </c>
      <c r="F30" s="613" t="s">
        <v>670</v>
      </c>
      <c r="G30" s="614"/>
      <c r="H30" s="615"/>
      <c r="I30" s="616">
        <v>0</v>
      </c>
    </row>
    <row r="31" spans="1:10" s="55" customFormat="1" ht="28.5" customHeight="1">
      <c r="A31" s="610">
        <v>801</v>
      </c>
      <c r="B31" s="611">
        <v>80103</v>
      </c>
      <c r="C31" s="611"/>
      <c r="D31" s="611">
        <v>2590</v>
      </c>
      <c r="E31" s="612" t="s">
        <v>599</v>
      </c>
      <c r="F31" s="613" t="s">
        <v>687</v>
      </c>
      <c r="G31" s="614">
        <v>87480</v>
      </c>
      <c r="H31" s="615"/>
      <c r="I31" s="616"/>
    </row>
    <row r="32" spans="1:10" s="55" customFormat="1" ht="37.5" customHeight="1">
      <c r="A32" s="610">
        <v>801</v>
      </c>
      <c r="B32" s="611">
        <v>80104</v>
      </c>
      <c r="C32" s="611"/>
      <c r="D32" s="611">
        <v>2540</v>
      </c>
      <c r="E32" s="612" t="s">
        <v>602</v>
      </c>
      <c r="F32" s="613" t="s">
        <v>601</v>
      </c>
      <c r="G32" s="614">
        <v>285600</v>
      </c>
      <c r="H32" s="615"/>
      <c r="I32" s="616"/>
    </row>
    <row r="33" spans="1:9" ht="45" hidden="1" customHeight="1">
      <c r="A33" s="610">
        <v>921</v>
      </c>
      <c r="B33" s="611">
        <v>92120</v>
      </c>
      <c r="C33" s="611"/>
      <c r="D33" s="611">
        <v>2720</v>
      </c>
      <c r="E33" s="622" t="s">
        <v>603</v>
      </c>
      <c r="F33" s="623" t="s">
        <v>734</v>
      </c>
      <c r="G33" s="615"/>
      <c r="H33" s="615"/>
      <c r="I33" s="616">
        <v>0</v>
      </c>
    </row>
    <row r="34" spans="1:9" ht="36.75" hidden="1" customHeight="1">
      <c r="A34" s="610">
        <v>801</v>
      </c>
      <c r="B34" s="611">
        <v>80153</v>
      </c>
      <c r="C34" s="611"/>
      <c r="D34" s="611">
        <v>2830</v>
      </c>
      <c r="E34" s="612" t="s">
        <v>599</v>
      </c>
      <c r="F34" s="623" t="s">
        <v>670</v>
      </c>
      <c r="G34" s="615"/>
      <c r="H34" s="615"/>
      <c r="I34" s="621">
        <v>0</v>
      </c>
    </row>
    <row r="35" spans="1:9" ht="30" customHeight="1">
      <c r="A35" s="610">
        <v>851</v>
      </c>
      <c r="B35" s="611">
        <v>85195</v>
      </c>
      <c r="C35" s="611"/>
      <c r="D35" s="611">
        <v>6300</v>
      </c>
      <c r="E35" s="612" t="s">
        <v>658</v>
      </c>
      <c r="F35" s="623" t="s">
        <v>765</v>
      </c>
      <c r="G35" s="615"/>
      <c r="H35" s="615"/>
      <c r="I35" s="621">
        <v>155305</v>
      </c>
    </row>
    <row r="36" spans="1:9" ht="39.75" customHeight="1">
      <c r="A36" s="619" t="s">
        <v>565</v>
      </c>
      <c r="B36" s="620" t="s">
        <v>604</v>
      </c>
      <c r="C36" s="620"/>
      <c r="D36" s="620" t="s">
        <v>605</v>
      </c>
      <c r="E36" s="612" t="s">
        <v>606</v>
      </c>
      <c r="F36" s="623" t="s">
        <v>715</v>
      </c>
      <c r="G36" s="615"/>
      <c r="H36" s="615"/>
      <c r="I36" s="621">
        <v>10000</v>
      </c>
    </row>
    <row r="37" spans="1:9" ht="39.75" customHeight="1">
      <c r="A37" s="619" t="s">
        <v>565</v>
      </c>
      <c r="B37" s="620" t="s">
        <v>604</v>
      </c>
      <c r="C37" s="620"/>
      <c r="D37" s="620" t="s">
        <v>605</v>
      </c>
      <c r="E37" s="612" t="s">
        <v>606</v>
      </c>
      <c r="F37" s="623" t="s">
        <v>716</v>
      </c>
      <c r="G37" s="615"/>
      <c r="H37" s="615"/>
      <c r="I37" s="621">
        <v>10000</v>
      </c>
    </row>
    <row r="38" spans="1:9" ht="69.599999999999994" customHeight="1">
      <c r="A38" s="619" t="s">
        <v>565</v>
      </c>
      <c r="B38" s="620" t="s">
        <v>604</v>
      </c>
      <c r="C38" s="620"/>
      <c r="D38" s="620" t="s">
        <v>605</v>
      </c>
      <c r="E38" s="612" t="s">
        <v>606</v>
      </c>
      <c r="F38" s="624" t="s">
        <v>718</v>
      </c>
      <c r="G38" s="615"/>
      <c r="H38" s="615"/>
      <c r="I38" s="621">
        <v>10000</v>
      </c>
    </row>
    <row r="39" spans="1:9" ht="41.25" customHeight="1">
      <c r="A39" s="619" t="s">
        <v>565</v>
      </c>
      <c r="B39" s="620" t="s">
        <v>604</v>
      </c>
      <c r="C39" s="620"/>
      <c r="D39" s="620" t="s">
        <v>605</v>
      </c>
      <c r="E39" s="612" t="s">
        <v>603</v>
      </c>
      <c r="F39" s="623" t="s">
        <v>719</v>
      </c>
      <c r="G39" s="625"/>
      <c r="H39" s="615"/>
      <c r="I39" s="621">
        <v>10000</v>
      </c>
    </row>
    <row r="40" spans="1:9" ht="41.25" customHeight="1">
      <c r="A40" s="619" t="s">
        <v>565</v>
      </c>
      <c r="B40" s="620" t="s">
        <v>604</v>
      </c>
      <c r="C40" s="620"/>
      <c r="D40" s="620" t="s">
        <v>605</v>
      </c>
      <c r="E40" s="612" t="s">
        <v>603</v>
      </c>
      <c r="F40" s="623" t="s">
        <v>720</v>
      </c>
      <c r="G40" s="625"/>
      <c r="H40" s="615"/>
      <c r="I40" s="621">
        <v>10000</v>
      </c>
    </row>
    <row r="41" spans="1:9" ht="41.25" customHeight="1">
      <c r="A41" s="619" t="s">
        <v>565</v>
      </c>
      <c r="B41" s="620" t="s">
        <v>604</v>
      </c>
      <c r="C41" s="620"/>
      <c r="D41" s="620" t="s">
        <v>605</v>
      </c>
      <c r="E41" s="612" t="s">
        <v>603</v>
      </c>
      <c r="F41" s="623" t="s">
        <v>721</v>
      </c>
      <c r="G41" s="625"/>
      <c r="H41" s="615"/>
      <c r="I41" s="621">
        <v>10000</v>
      </c>
    </row>
    <row r="42" spans="1:9" ht="32.1" customHeight="1">
      <c r="A42" s="619" t="s">
        <v>565</v>
      </c>
      <c r="B42" s="620" t="s">
        <v>604</v>
      </c>
      <c r="C42" s="620"/>
      <c r="D42" s="620" t="s">
        <v>605</v>
      </c>
      <c r="E42" s="612" t="s">
        <v>603</v>
      </c>
      <c r="F42" s="623" t="s">
        <v>722</v>
      </c>
      <c r="G42" s="625"/>
      <c r="H42" s="615"/>
      <c r="I42" s="621">
        <v>10000</v>
      </c>
    </row>
    <row r="43" spans="1:9" ht="39.950000000000003" customHeight="1">
      <c r="A43" s="619" t="s">
        <v>565</v>
      </c>
      <c r="B43" s="620" t="s">
        <v>604</v>
      </c>
      <c r="C43" s="620"/>
      <c r="D43" s="620" t="s">
        <v>605</v>
      </c>
      <c r="E43" s="612" t="s">
        <v>607</v>
      </c>
      <c r="F43" s="623" t="s">
        <v>725</v>
      </c>
      <c r="G43" s="625"/>
      <c r="H43" s="615"/>
      <c r="I43" s="621">
        <v>10000</v>
      </c>
    </row>
    <row r="44" spans="1:9" ht="45" customHeight="1">
      <c r="A44" s="619" t="s">
        <v>565</v>
      </c>
      <c r="B44" s="620" t="s">
        <v>604</v>
      </c>
      <c r="C44" s="620"/>
      <c r="D44" s="620" t="s">
        <v>605</v>
      </c>
      <c r="E44" s="612" t="s">
        <v>657</v>
      </c>
      <c r="F44" s="623" t="s">
        <v>723</v>
      </c>
      <c r="G44" s="625"/>
      <c r="H44" s="615"/>
      <c r="I44" s="621">
        <v>10000</v>
      </c>
    </row>
    <row r="45" spans="1:9" ht="53.25" customHeight="1">
      <c r="A45" s="619" t="s">
        <v>565</v>
      </c>
      <c r="B45" s="620" t="s">
        <v>604</v>
      </c>
      <c r="C45" s="620"/>
      <c r="D45" s="620" t="s">
        <v>605</v>
      </c>
      <c r="E45" s="612" t="s">
        <v>701</v>
      </c>
      <c r="F45" s="623" t="s">
        <v>724</v>
      </c>
      <c r="G45" s="625"/>
      <c r="H45" s="615"/>
      <c r="I45" s="621">
        <v>10000</v>
      </c>
    </row>
    <row r="46" spans="1:9" ht="48.75" customHeight="1">
      <c r="A46" s="619" t="s">
        <v>565</v>
      </c>
      <c r="B46" s="620" t="s">
        <v>604</v>
      </c>
      <c r="C46" s="620"/>
      <c r="D46" s="620" t="s">
        <v>605</v>
      </c>
      <c r="E46" s="612" t="s">
        <v>675</v>
      </c>
      <c r="F46" s="623" t="s">
        <v>717</v>
      </c>
      <c r="G46" s="625"/>
      <c r="H46" s="615"/>
      <c r="I46" s="621">
        <v>10000</v>
      </c>
    </row>
    <row r="47" spans="1:9" ht="57.75" customHeight="1">
      <c r="A47" s="619" t="s">
        <v>565</v>
      </c>
      <c r="B47" s="620" t="s">
        <v>604</v>
      </c>
      <c r="C47" s="620"/>
      <c r="D47" s="620" t="s">
        <v>605</v>
      </c>
      <c r="E47" s="612" t="s">
        <v>675</v>
      </c>
      <c r="F47" s="623" t="s">
        <v>736</v>
      </c>
      <c r="G47" s="625"/>
      <c r="H47" s="615"/>
      <c r="I47" s="621">
        <v>10000</v>
      </c>
    </row>
    <row r="48" spans="1:9" ht="30.75" hidden="1" customHeight="1">
      <c r="A48" s="619" t="s">
        <v>549</v>
      </c>
      <c r="B48" s="620" t="s">
        <v>660</v>
      </c>
      <c r="C48" s="620"/>
      <c r="D48" s="620" t="s">
        <v>580</v>
      </c>
      <c r="E48" s="612" t="s">
        <v>615</v>
      </c>
      <c r="F48" s="623" t="s">
        <v>665</v>
      </c>
      <c r="G48" s="625"/>
      <c r="H48" s="615"/>
      <c r="I48" s="616"/>
    </row>
    <row r="49" spans="1:17" ht="30" customHeight="1" thickBot="1">
      <c r="A49" s="675" t="s">
        <v>559</v>
      </c>
      <c r="B49" s="676" t="s">
        <v>676</v>
      </c>
      <c r="C49" s="676"/>
      <c r="D49" s="676" t="s">
        <v>580</v>
      </c>
      <c r="E49" s="677" t="s">
        <v>615</v>
      </c>
      <c r="F49" s="678" t="s">
        <v>614</v>
      </c>
      <c r="G49" s="679"/>
      <c r="H49" s="680"/>
      <c r="I49" s="681">
        <v>110000</v>
      </c>
      <c r="Q49" s="5">
        <v>1</v>
      </c>
    </row>
    <row r="50" spans="1:17" ht="20.25" customHeight="1">
      <c r="A50" s="864" t="s">
        <v>595</v>
      </c>
      <c r="B50" s="865"/>
      <c r="C50" s="865"/>
      <c r="D50" s="865"/>
      <c r="E50" s="865"/>
      <c r="F50" s="865"/>
      <c r="G50" s="682">
        <f>G10+G21</f>
        <v>1098850</v>
      </c>
      <c r="H50" s="682">
        <f>H10+H21</f>
        <v>0</v>
      </c>
      <c r="I50" s="683">
        <f>I10+I21</f>
        <v>1090379</v>
      </c>
    </row>
    <row r="51" spans="1:17" ht="21.75" hidden="1" customHeight="1">
      <c r="A51" s="876" t="s">
        <v>491</v>
      </c>
      <c r="B51" s="877"/>
      <c r="C51" s="877"/>
      <c r="D51" s="667"/>
      <c r="E51" s="668" t="s">
        <v>492</v>
      </c>
      <c r="F51" s="668"/>
      <c r="G51" s="878"/>
      <c r="H51" s="878"/>
      <c r="I51" s="879"/>
    </row>
    <row r="52" spans="1:17" ht="18" hidden="1" customHeight="1">
      <c r="A52" s="684">
        <v>600</v>
      </c>
      <c r="B52" s="672">
        <v>60014</v>
      </c>
      <c r="C52" s="673"/>
      <c r="D52" s="532"/>
      <c r="E52" s="669" t="s">
        <v>494</v>
      </c>
      <c r="F52" s="669"/>
      <c r="G52" s="605"/>
      <c r="H52" s="605"/>
      <c r="I52" s="685"/>
    </row>
    <row r="53" spans="1:17" ht="27" hidden="1" customHeight="1">
      <c r="A53" s="684">
        <v>900</v>
      </c>
      <c r="B53" s="672">
        <v>90001</v>
      </c>
      <c r="C53" s="673"/>
      <c r="D53" s="532"/>
      <c r="E53" s="669" t="s">
        <v>493</v>
      </c>
      <c r="F53" s="669"/>
      <c r="G53" s="605"/>
      <c r="H53" s="605"/>
      <c r="I53" s="685"/>
    </row>
    <row r="54" spans="1:17" ht="18" hidden="1" customHeight="1">
      <c r="A54" s="880" t="s">
        <v>496</v>
      </c>
      <c r="B54" s="881"/>
      <c r="C54" s="881"/>
      <c r="D54" s="881"/>
      <c r="E54" s="881"/>
      <c r="F54" s="670"/>
      <c r="G54" s="606"/>
      <c r="H54" s="606"/>
      <c r="I54" s="686">
        <f>SUM(I52:I53)</f>
        <v>0</v>
      </c>
    </row>
    <row r="55" spans="1:17" ht="18" hidden="1" customHeight="1">
      <c r="A55" s="873" t="s">
        <v>497</v>
      </c>
      <c r="B55" s="874"/>
      <c r="C55" s="874"/>
      <c r="D55" s="874"/>
      <c r="E55" s="874"/>
      <c r="F55" s="671"/>
      <c r="G55" s="607">
        <f>G50+G54</f>
        <v>1098850</v>
      </c>
      <c r="H55" s="607">
        <f>H50+H54</f>
        <v>0</v>
      </c>
      <c r="I55" s="687">
        <f>I50+I54</f>
        <v>1090379</v>
      </c>
    </row>
    <row r="56" spans="1:17" ht="18" customHeight="1" thickBot="1">
      <c r="A56" s="866" t="s">
        <v>518</v>
      </c>
      <c r="B56" s="867"/>
      <c r="C56" s="867"/>
      <c r="D56" s="867"/>
      <c r="E56" s="867"/>
      <c r="F56" s="867"/>
      <c r="G56" s="862">
        <f>G50+H50+I50</f>
        <v>2189229</v>
      </c>
      <c r="H56" s="862"/>
      <c r="I56" s="863"/>
    </row>
    <row r="57" spans="1:17">
      <c r="A57" s="469"/>
      <c r="B57" s="469"/>
      <c r="C57" s="469"/>
      <c r="D57" s="598"/>
      <c r="E57" s="599"/>
      <c r="F57" s="600"/>
      <c r="G57" s="608"/>
      <c r="H57" s="608"/>
      <c r="I57" s="608"/>
    </row>
    <row r="58" spans="1:17">
      <c r="A58" s="469"/>
      <c r="B58" s="469"/>
      <c r="C58" s="469"/>
      <c r="D58" s="598"/>
      <c r="E58" s="599"/>
      <c r="F58" s="600"/>
      <c r="G58" s="674"/>
      <c r="H58" s="469"/>
      <c r="I58" s="608"/>
    </row>
    <row r="59" spans="1:17">
      <c r="A59" s="469"/>
      <c r="B59" s="469"/>
      <c r="C59" s="469"/>
      <c r="D59" s="598"/>
      <c r="E59" s="599"/>
      <c r="F59" s="600"/>
      <c r="G59" s="469"/>
      <c r="H59" s="469"/>
      <c r="I59" s="469"/>
    </row>
    <row r="60" spans="1:17">
      <c r="A60" s="469"/>
      <c r="B60" s="469"/>
      <c r="C60" s="469"/>
      <c r="D60" s="598"/>
      <c r="E60" s="599"/>
      <c r="F60" s="600"/>
      <c r="G60" s="674"/>
      <c r="H60" s="469"/>
      <c r="I60" s="608"/>
    </row>
    <row r="61" spans="1:17">
      <c r="A61" s="426"/>
      <c r="B61" s="426"/>
      <c r="C61" s="426"/>
      <c r="D61" s="432"/>
      <c r="E61" s="434"/>
      <c r="F61" s="433"/>
      <c r="G61" s="426"/>
      <c r="H61" s="426"/>
      <c r="I61" s="426"/>
    </row>
    <row r="62" spans="1:17">
      <c r="A62" s="426"/>
      <c r="B62" s="426"/>
      <c r="C62" s="426"/>
      <c r="D62" s="432"/>
      <c r="E62" s="434"/>
      <c r="F62" s="433"/>
      <c r="G62" s="426"/>
      <c r="H62" s="426"/>
      <c r="I62" s="426"/>
    </row>
    <row r="63" spans="1:17">
      <c r="A63" s="426"/>
      <c r="B63" s="426"/>
      <c r="C63" s="426"/>
      <c r="D63" s="432"/>
      <c r="E63" s="434"/>
      <c r="F63" s="433"/>
      <c r="G63" s="438"/>
      <c r="H63" s="438"/>
      <c r="I63" s="438"/>
    </row>
    <row r="64" spans="1:17">
      <c r="A64" s="426"/>
      <c r="B64" s="426"/>
      <c r="C64" s="426"/>
      <c r="D64" s="432"/>
      <c r="E64" s="434"/>
      <c r="F64" s="433"/>
      <c r="G64" s="426"/>
      <c r="H64" s="426"/>
      <c r="I64" s="426"/>
    </row>
    <row r="65" spans="1:9">
      <c r="A65" s="426"/>
      <c r="B65" s="426"/>
      <c r="C65" s="426"/>
      <c r="D65" s="432"/>
      <c r="E65" s="434"/>
      <c r="F65" s="433"/>
      <c r="G65" s="426"/>
      <c r="H65" s="426"/>
      <c r="I65" s="438"/>
    </row>
  </sheetData>
  <mergeCells count="19">
    <mergeCell ref="G56:I56"/>
    <mergeCell ref="A50:F50"/>
    <mergeCell ref="A56:F56"/>
    <mergeCell ref="G7:I7"/>
    <mergeCell ref="F6:F8"/>
    <mergeCell ref="A21:D21"/>
    <mergeCell ref="A10:D10"/>
    <mergeCell ref="A55:E55"/>
    <mergeCell ref="B9:C9"/>
    <mergeCell ref="A51:C51"/>
    <mergeCell ref="G51:I51"/>
    <mergeCell ref="A54:E54"/>
    <mergeCell ref="G2:I4"/>
    <mergeCell ref="D6:D8"/>
    <mergeCell ref="A5:I5"/>
    <mergeCell ref="A6:A8"/>
    <mergeCell ref="B6:C8"/>
    <mergeCell ref="E6:E8"/>
    <mergeCell ref="G6:I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L439"/>
  <sheetViews>
    <sheetView zoomScaleNormal="100" workbookViewId="0">
      <selection activeCell="N14" sqref="N14"/>
    </sheetView>
  </sheetViews>
  <sheetFormatPr defaultColWidth="15.140625" defaultRowHeight="12.75"/>
  <cols>
    <col min="1" max="1" width="4.140625" style="5" customWidth="1"/>
    <col min="2" max="2" width="4.85546875" style="5" customWidth="1"/>
    <col min="3" max="3" width="5.5703125" style="5" customWidth="1"/>
    <col min="4" max="4" width="42.85546875" style="5" customWidth="1"/>
    <col min="5" max="5" width="13.28515625" style="5" customWidth="1"/>
    <col min="6" max="6" width="13.85546875" style="5" customWidth="1"/>
    <col min="7" max="7" width="13" style="5" customWidth="1"/>
    <col min="8" max="8" width="12.5703125" style="5" customWidth="1"/>
    <col min="9" max="9" width="10.7109375" style="5" customWidth="1"/>
    <col min="10" max="10" width="12.140625" style="5" customWidth="1"/>
    <col min="11" max="11" width="11.28515625" style="5" customWidth="1"/>
    <col min="12" max="16384" width="15.140625" style="5"/>
  </cols>
  <sheetData>
    <row r="1" spans="1:12" ht="14.25">
      <c r="E1" s="352"/>
      <c r="F1" s="352"/>
      <c r="G1" s="352"/>
      <c r="H1" s="891" t="s">
        <v>702</v>
      </c>
      <c r="I1" s="891"/>
      <c r="J1" s="891"/>
      <c r="K1" s="891"/>
    </row>
    <row r="2" spans="1:12" ht="12.75" customHeight="1">
      <c r="E2" s="353"/>
      <c r="F2" s="353"/>
      <c r="G2" s="353"/>
      <c r="H2" s="892" t="s">
        <v>778</v>
      </c>
      <c r="I2" s="892"/>
      <c r="J2" s="892"/>
      <c r="K2" s="892"/>
    </row>
    <row r="3" spans="1:12" ht="43.5" customHeight="1">
      <c r="E3" s="353"/>
      <c r="F3" s="353"/>
      <c r="G3" s="353"/>
      <c r="H3" s="892"/>
      <c r="I3" s="892"/>
      <c r="J3" s="892"/>
      <c r="K3" s="892"/>
    </row>
    <row r="4" spans="1:12" ht="14.25" hidden="1" customHeight="1">
      <c r="G4" s="354"/>
      <c r="H4" s="893"/>
      <c r="I4" s="893"/>
      <c r="J4" s="893"/>
      <c r="K4" s="893"/>
      <c r="L4" s="420"/>
    </row>
    <row r="5" spans="1:12" ht="15.75">
      <c r="A5" s="894" t="s">
        <v>730</v>
      </c>
      <c r="B5" s="894"/>
      <c r="C5" s="894"/>
      <c r="D5" s="894"/>
      <c r="E5" s="894"/>
      <c r="F5" s="894"/>
      <c r="G5" s="894"/>
      <c r="H5" s="894"/>
      <c r="I5" s="894"/>
      <c r="J5" s="444"/>
      <c r="K5" s="444"/>
    </row>
    <row r="6" spans="1:12" ht="13.5" thickBot="1">
      <c r="A6" s="426"/>
      <c r="B6" s="426"/>
      <c r="C6" s="426"/>
      <c r="D6" s="426"/>
      <c r="E6" s="426"/>
      <c r="F6" s="426"/>
      <c r="G6" s="426"/>
      <c r="H6" s="426"/>
      <c r="I6" s="426"/>
      <c r="J6" s="426"/>
      <c r="K6" s="426" t="s">
        <v>466</v>
      </c>
    </row>
    <row r="7" spans="1:12" ht="12.75" customHeight="1">
      <c r="A7" s="897" t="s">
        <v>467</v>
      </c>
      <c r="B7" s="899" t="s">
        <v>69</v>
      </c>
      <c r="C7" s="899" t="s">
        <v>468</v>
      </c>
      <c r="D7" s="889" t="s">
        <v>469</v>
      </c>
      <c r="E7" s="889" t="s">
        <v>470</v>
      </c>
      <c r="F7" s="889" t="s">
        <v>471</v>
      </c>
      <c r="G7" s="889"/>
      <c r="H7" s="889"/>
      <c r="I7" s="889"/>
      <c r="J7" s="889"/>
      <c r="K7" s="895" t="s">
        <v>472</v>
      </c>
    </row>
    <row r="8" spans="1:12" ht="12.75" customHeight="1">
      <c r="A8" s="898"/>
      <c r="B8" s="900"/>
      <c r="C8" s="900"/>
      <c r="D8" s="890"/>
      <c r="E8" s="890"/>
      <c r="F8" s="890" t="s">
        <v>737</v>
      </c>
      <c r="G8" s="890" t="s">
        <v>473</v>
      </c>
      <c r="H8" s="890"/>
      <c r="I8" s="890"/>
      <c r="J8" s="890"/>
      <c r="K8" s="896"/>
    </row>
    <row r="9" spans="1:12" ht="12.75" customHeight="1">
      <c r="A9" s="898"/>
      <c r="B9" s="900"/>
      <c r="C9" s="900"/>
      <c r="D9" s="890"/>
      <c r="E9" s="890"/>
      <c r="F9" s="890"/>
      <c r="G9" s="890" t="s">
        <v>474</v>
      </c>
      <c r="H9" s="890" t="s">
        <v>475</v>
      </c>
      <c r="I9" s="890" t="s">
        <v>738</v>
      </c>
      <c r="J9" s="890" t="s">
        <v>476</v>
      </c>
      <c r="K9" s="896"/>
    </row>
    <row r="10" spans="1:12" s="355" customFormat="1" ht="15.75">
      <c r="A10" s="898"/>
      <c r="B10" s="900"/>
      <c r="C10" s="900"/>
      <c r="D10" s="890"/>
      <c r="E10" s="890"/>
      <c r="F10" s="890"/>
      <c r="G10" s="890"/>
      <c r="H10" s="890"/>
      <c r="I10" s="890"/>
      <c r="J10" s="890"/>
      <c r="K10" s="896"/>
    </row>
    <row r="11" spans="1:12" s="355" customFormat="1" ht="28.5" customHeight="1">
      <c r="A11" s="898"/>
      <c r="B11" s="900"/>
      <c r="C11" s="900"/>
      <c r="D11" s="890"/>
      <c r="E11" s="890"/>
      <c r="F11" s="890"/>
      <c r="G11" s="890"/>
      <c r="H11" s="890"/>
      <c r="I11" s="890"/>
      <c r="J11" s="890"/>
      <c r="K11" s="896"/>
    </row>
    <row r="12" spans="1:12" s="356" customFormat="1" ht="15.75">
      <c r="A12" s="630" t="s">
        <v>4</v>
      </c>
      <c r="B12" s="631" t="s">
        <v>5</v>
      </c>
      <c r="C12" s="631" t="s">
        <v>6</v>
      </c>
      <c r="D12" s="632" t="s">
        <v>7</v>
      </c>
      <c r="E12" s="632" t="s">
        <v>8</v>
      </c>
      <c r="F12" s="632" t="s">
        <v>64</v>
      </c>
      <c r="G12" s="632" t="s">
        <v>65</v>
      </c>
      <c r="H12" s="632" t="s">
        <v>66</v>
      </c>
      <c r="I12" s="632" t="s">
        <v>477</v>
      </c>
      <c r="J12" s="633" t="s">
        <v>478</v>
      </c>
      <c r="K12" s="634" t="s">
        <v>479</v>
      </c>
    </row>
    <row r="13" spans="1:12" s="356" customFormat="1" ht="48.75" hidden="1" customHeight="1">
      <c r="A13" s="635" t="s">
        <v>4</v>
      </c>
      <c r="B13" s="636" t="s">
        <v>539</v>
      </c>
      <c r="C13" s="636" t="s">
        <v>543</v>
      </c>
      <c r="D13" s="637" t="s">
        <v>671</v>
      </c>
      <c r="E13" s="638">
        <f>F13+49200</f>
        <v>49200</v>
      </c>
      <c r="F13" s="639">
        <f t="shared" ref="F13:F19" si="0">G13+H13+I13+J13</f>
        <v>0</v>
      </c>
      <c r="G13" s="639">
        <v>0</v>
      </c>
      <c r="H13" s="640">
        <v>0</v>
      </c>
      <c r="I13" s="639"/>
      <c r="J13" s="641"/>
      <c r="K13" s="642" t="s">
        <v>558</v>
      </c>
    </row>
    <row r="14" spans="1:12" s="356" customFormat="1" ht="30" customHeight="1">
      <c r="A14" s="635">
        <v>1</v>
      </c>
      <c r="B14" s="636" t="s">
        <v>539</v>
      </c>
      <c r="C14" s="636" t="s">
        <v>543</v>
      </c>
      <c r="D14" s="643" t="s">
        <v>739</v>
      </c>
      <c r="E14" s="618">
        <f>F14+6500</f>
        <v>356500</v>
      </c>
      <c r="F14" s="644">
        <f t="shared" si="0"/>
        <v>350000</v>
      </c>
      <c r="G14" s="644">
        <v>45524</v>
      </c>
      <c r="H14" s="644">
        <v>0</v>
      </c>
      <c r="I14" s="644">
        <v>0</v>
      </c>
      <c r="J14" s="644">
        <v>304476</v>
      </c>
      <c r="K14" s="642" t="s">
        <v>558</v>
      </c>
      <c r="L14" s="446"/>
    </row>
    <row r="15" spans="1:12" s="356" customFormat="1" ht="30" customHeight="1">
      <c r="A15" s="635">
        <v>2</v>
      </c>
      <c r="B15" s="636" t="s">
        <v>539</v>
      </c>
      <c r="C15" s="636" t="s">
        <v>543</v>
      </c>
      <c r="D15" s="643" t="s">
        <v>740</v>
      </c>
      <c r="E15" s="618">
        <f t="shared" ref="E15:E20" si="1">F15</f>
        <v>410000</v>
      </c>
      <c r="F15" s="644">
        <f t="shared" si="0"/>
        <v>410000</v>
      </c>
      <c r="G15" s="644">
        <v>3206</v>
      </c>
      <c r="H15" s="644">
        <v>0</v>
      </c>
      <c r="I15" s="644">
        <v>0</v>
      </c>
      <c r="J15" s="644">
        <v>406794</v>
      </c>
      <c r="K15" s="642" t="s">
        <v>558</v>
      </c>
    </row>
    <row r="16" spans="1:12" s="356" customFormat="1" ht="30" customHeight="1">
      <c r="A16" s="635">
        <v>3</v>
      </c>
      <c r="B16" s="636" t="s">
        <v>539</v>
      </c>
      <c r="C16" s="636" t="s">
        <v>543</v>
      </c>
      <c r="D16" s="643" t="s">
        <v>741</v>
      </c>
      <c r="E16" s="618">
        <f t="shared" si="1"/>
        <v>204500</v>
      </c>
      <c r="F16" s="644">
        <f t="shared" si="0"/>
        <v>204500</v>
      </c>
      <c r="G16" s="644">
        <v>0</v>
      </c>
      <c r="H16" s="644">
        <v>204500</v>
      </c>
      <c r="I16" s="644">
        <v>0</v>
      </c>
      <c r="J16" s="644">
        <v>0</v>
      </c>
      <c r="K16" s="642" t="s">
        <v>558</v>
      </c>
    </row>
    <row r="17" spans="1:12" s="356" customFormat="1" ht="33" customHeight="1">
      <c r="A17" s="635">
        <v>4</v>
      </c>
      <c r="B17" s="636" t="s">
        <v>539</v>
      </c>
      <c r="C17" s="636" t="s">
        <v>543</v>
      </c>
      <c r="D17" s="643" t="s">
        <v>742</v>
      </c>
      <c r="E17" s="618">
        <f t="shared" si="1"/>
        <v>20000</v>
      </c>
      <c r="F17" s="644">
        <f>G17+H17+I17+J17</f>
        <v>20000</v>
      </c>
      <c r="G17" s="644">
        <v>0</v>
      </c>
      <c r="H17" s="644">
        <v>20000</v>
      </c>
      <c r="I17" s="644"/>
      <c r="J17" s="644"/>
      <c r="K17" s="642" t="s">
        <v>558</v>
      </c>
    </row>
    <row r="18" spans="1:12" s="356" customFormat="1" ht="24" customHeight="1">
      <c r="A18" s="635">
        <v>5</v>
      </c>
      <c r="B18" s="636" t="s">
        <v>539</v>
      </c>
      <c r="C18" s="636" t="s">
        <v>543</v>
      </c>
      <c r="D18" s="643" t="s">
        <v>743</v>
      </c>
      <c r="E18" s="618">
        <f t="shared" si="1"/>
        <v>20000</v>
      </c>
      <c r="F18" s="644">
        <f>G18+H18+I18+J18</f>
        <v>20000</v>
      </c>
      <c r="G18" s="644">
        <v>0</v>
      </c>
      <c r="H18" s="644">
        <v>20000</v>
      </c>
      <c r="I18" s="644"/>
      <c r="J18" s="644"/>
      <c r="K18" s="642" t="s">
        <v>558</v>
      </c>
    </row>
    <row r="19" spans="1:12" s="356" customFormat="1" ht="38.25" customHeight="1">
      <c r="A19" s="635">
        <v>6</v>
      </c>
      <c r="B19" s="636" t="s">
        <v>539</v>
      </c>
      <c r="C19" s="636" t="s">
        <v>543</v>
      </c>
      <c r="D19" s="643" t="s">
        <v>744</v>
      </c>
      <c r="E19" s="618">
        <f t="shared" si="1"/>
        <v>52000</v>
      </c>
      <c r="F19" s="644">
        <f t="shared" si="0"/>
        <v>52000</v>
      </c>
      <c r="G19" s="644">
        <v>0</v>
      </c>
      <c r="H19" s="644">
        <v>52000</v>
      </c>
      <c r="I19" s="644">
        <v>0</v>
      </c>
      <c r="J19" s="644">
        <v>0</v>
      </c>
      <c r="K19" s="642" t="s">
        <v>558</v>
      </c>
    </row>
    <row r="20" spans="1:12" s="356" customFormat="1" ht="37.5" customHeight="1">
      <c r="A20" s="635">
        <v>7</v>
      </c>
      <c r="B20" s="636" t="s">
        <v>539</v>
      </c>
      <c r="C20" s="636" t="s">
        <v>543</v>
      </c>
      <c r="D20" s="613" t="s">
        <v>745</v>
      </c>
      <c r="E20" s="618">
        <f t="shared" si="1"/>
        <v>30000</v>
      </c>
      <c r="F20" s="644">
        <f>G20+H20+I20+J20</f>
        <v>30000</v>
      </c>
      <c r="G20" s="644">
        <v>30000</v>
      </c>
      <c r="H20" s="644"/>
      <c r="I20" s="644"/>
      <c r="J20" s="644"/>
      <c r="K20" s="642" t="s">
        <v>558</v>
      </c>
    </row>
    <row r="21" spans="1:12" s="356" customFormat="1" ht="37.5" customHeight="1">
      <c r="A21" s="635">
        <v>8</v>
      </c>
      <c r="B21" s="636" t="s">
        <v>539</v>
      </c>
      <c r="C21" s="636" t="s">
        <v>766</v>
      </c>
      <c r="D21" s="613" t="s">
        <v>767</v>
      </c>
      <c r="E21" s="618">
        <f>F21</f>
        <v>308452</v>
      </c>
      <c r="F21" s="644">
        <f>G21+H21+I21+J21</f>
        <v>308452</v>
      </c>
      <c r="G21" s="644">
        <v>109252</v>
      </c>
      <c r="H21" s="644"/>
      <c r="I21" s="644">
        <v>199200</v>
      </c>
      <c r="J21" s="644"/>
      <c r="K21" s="642" t="s">
        <v>558</v>
      </c>
    </row>
    <row r="22" spans="1:12" s="356" customFormat="1" ht="30" customHeight="1">
      <c r="A22" s="882" t="s">
        <v>616</v>
      </c>
      <c r="B22" s="883"/>
      <c r="C22" s="883"/>
      <c r="D22" s="883"/>
      <c r="E22" s="645">
        <f>SUM(E13:E21)</f>
        <v>1450652</v>
      </c>
      <c r="F22" s="645">
        <f>SUM(F13:F21)</f>
        <v>1394952</v>
      </c>
      <c r="G22" s="645">
        <f>SUM(G13:G21)</f>
        <v>187982</v>
      </c>
      <c r="H22" s="645">
        <f t="shared" ref="H22:J22" si="2">SUM(H13:H19)</f>
        <v>296500</v>
      </c>
      <c r="I22" s="645">
        <f t="shared" si="2"/>
        <v>0</v>
      </c>
      <c r="J22" s="645">
        <f t="shared" si="2"/>
        <v>711270</v>
      </c>
      <c r="K22" s="646"/>
      <c r="L22" s="446"/>
    </row>
    <row r="23" spans="1:12" s="356" customFormat="1" ht="30" customHeight="1">
      <c r="A23" s="647">
        <v>9</v>
      </c>
      <c r="B23" s="648">
        <v>600</v>
      </c>
      <c r="C23" s="648">
        <v>60014</v>
      </c>
      <c r="D23" s="613" t="s">
        <v>746</v>
      </c>
      <c r="E23" s="618">
        <f t="shared" ref="E23" si="3">F23</f>
        <v>100000</v>
      </c>
      <c r="F23" s="618">
        <f t="shared" ref="F23:F27" si="4">G23+H23+I23+J23</f>
        <v>100000</v>
      </c>
      <c r="G23" s="618">
        <v>0</v>
      </c>
      <c r="H23" s="618">
        <v>100000</v>
      </c>
      <c r="I23" s="618">
        <v>0</v>
      </c>
      <c r="J23" s="618">
        <v>0</v>
      </c>
      <c r="K23" s="649" t="s">
        <v>558</v>
      </c>
      <c r="L23" s="446"/>
    </row>
    <row r="24" spans="1:12" s="356" customFormat="1" ht="30" customHeight="1">
      <c r="A24" s="647">
        <v>10</v>
      </c>
      <c r="B24" s="648">
        <v>600</v>
      </c>
      <c r="C24" s="648">
        <v>60014</v>
      </c>
      <c r="D24" s="613" t="s">
        <v>747</v>
      </c>
      <c r="E24" s="618">
        <f>F24+11522</f>
        <v>466266</v>
      </c>
      <c r="F24" s="618">
        <v>454744</v>
      </c>
      <c r="G24" s="618">
        <v>0</v>
      </c>
      <c r="H24" s="618">
        <v>454744</v>
      </c>
      <c r="I24" s="618">
        <v>0</v>
      </c>
      <c r="J24" s="618">
        <v>0</v>
      </c>
      <c r="K24" s="649" t="s">
        <v>558</v>
      </c>
      <c r="L24" s="446"/>
    </row>
    <row r="25" spans="1:12" s="356" customFormat="1" ht="30" customHeight="1">
      <c r="A25" s="647">
        <v>11</v>
      </c>
      <c r="B25" s="648">
        <v>600</v>
      </c>
      <c r="C25" s="648">
        <v>60016</v>
      </c>
      <c r="D25" s="613" t="s">
        <v>748</v>
      </c>
      <c r="E25" s="618">
        <f>F25+30000</f>
        <v>1274645</v>
      </c>
      <c r="F25" s="618">
        <f t="shared" si="4"/>
        <v>1244645</v>
      </c>
      <c r="G25" s="618">
        <v>1144889</v>
      </c>
      <c r="H25" s="618">
        <v>99756</v>
      </c>
      <c r="I25" s="618">
        <v>0</v>
      </c>
      <c r="J25" s="618">
        <v>0</v>
      </c>
      <c r="K25" s="649" t="s">
        <v>558</v>
      </c>
      <c r="L25" s="446"/>
    </row>
    <row r="26" spans="1:12" s="356" customFormat="1" ht="30" customHeight="1">
      <c r="A26" s="647">
        <v>12</v>
      </c>
      <c r="B26" s="648">
        <v>600</v>
      </c>
      <c r="C26" s="648">
        <v>60016</v>
      </c>
      <c r="D26" s="613" t="s">
        <v>749</v>
      </c>
      <c r="E26" s="618">
        <f>F26+6150</f>
        <v>5774938</v>
      </c>
      <c r="F26" s="644">
        <f t="shared" si="4"/>
        <v>5768788</v>
      </c>
      <c r="G26" s="644">
        <v>0</v>
      </c>
      <c r="H26" s="644">
        <v>1800637</v>
      </c>
      <c r="I26" s="644">
        <v>3968151</v>
      </c>
      <c r="J26" s="644">
        <v>0</v>
      </c>
      <c r="K26" s="649" t="s">
        <v>558</v>
      </c>
      <c r="L26" s="446"/>
    </row>
    <row r="27" spans="1:12" s="356" customFormat="1" ht="30" customHeight="1">
      <c r="A27" s="647">
        <v>13</v>
      </c>
      <c r="B27" s="648">
        <v>600</v>
      </c>
      <c r="C27" s="648">
        <v>60016</v>
      </c>
      <c r="D27" s="650" t="s">
        <v>750</v>
      </c>
      <c r="E27" s="618">
        <f>F27</f>
        <v>631965</v>
      </c>
      <c r="F27" s="644">
        <f t="shared" si="4"/>
        <v>631965</v>
      </c>
      <c r="G27" s="644">
        <v>0</v>
      </c>
      <c r="H27" s="644">
        <v>189589</v>
      </c>
      <c r="I27" s="644">
        <v>442376</v>
      </c>
      <c r="J27" s="644">
        <v>0</v>
      </c>
      <c r="K27" s="649" t="s">
        <v>558</v>
      </c>
    </row>
    <row r="28" spans="1:12" s="356" customFormat="1" ht="30" customHeight="1">
      <c r="A28" s="882" t="s">
        <v>617</v>
      </c>
      <c r="B28" s="883"/>
      <c r="C28" s="883"/>
      <c r="D28" s="883"/>
      <c r="E28" s="651">
        <f>SUM(E23:E27)</f>
        <v>8247814</v>
      </c>
      <c r="F28" s="651">
        <f t="shared" ref="F28:J28" si="5">SUM(F23:F27)</f>
        <v>8200142</v>
      </c>
      <c r="G28" s="651">
        <f t="shared" si="5"/>
        <v>1144889</v>
      </c>
      <c r="H28" s="651">
        <f t="shared" si="5"/>
        <v>2644726</v>
      </c>
      <c r="I28" s="651">
        <f t="shared" si="5"/>
        <v>4410527</v>
      </c>
      <c r="J28" s="651">
        <f t="shared" si="5"/>
        <v>0</v>
      </c>
      <c r="K28" s="646"/>
    </row>
    <row r="29" spans="1:12" s="356" customFormat="1" ht="30" customHeight="1">
      <c r="A29" s="635">
        <v>14</v>
      </c>
      <c r="B29" s="652" t="s">
        <v>561</v>
      </c>
      <c r="C29" s="652" t="s">
        <v>562</v>
      </c>
      <c r="D29" s="613" t="s">
        <v>751</v>
      </c>
      <c r="E29" s="618">
        <f>F29</f>
        <v>20000</v>
      </c>
      <c r="F29" s="644">
        <f>G29+H29+I29+J29</f>
        <v>20000</v>
      </c>
      <c r="G29" s="644">
        <v>20000</v>
      </c>
      <c r="H29" s="644">
        <v>0</v>
      </c>
      <c r="I29" s="644">
        <v>0</v>
      </c>
      <c r="J29" s="644">
        <v>0</v>
      </c>
      <c r="K29" s="642" t="s">
        <v>558</v>
      </c>
    </row>
    <row r="30" spans="1:12" s="356" customFormat="1" ht="48" customHeight="1">
      <c r="A30" s="883" t="s">
        <v>771</v>
      </c>
      <c r="B30" s="883"/>
      <c r="C30" s="883"/>
      <c r="D30" s="883"/>
      <c r="E30" s="651">
        <f t="shared" ref="E30:J30" si="6">E29</f>
        <v>20000</v>
      </c>
      <c r="F30" s="651">
        <f t="shared" si="6"/>
        <v>20000</v>
      </c>
      <c r="G30" s="651">
        <f t="shared" si="6"/>
        <v>20000</v>
      </c>
      <c r="H30" s="651">
        <f t="shared" si="6"/>
        <v>0</v>
      </c>
      <c r="I30" s="651">
        <f t="shared" si="6"/>
        <v>0</v>
      </c>
      <c r="J30" s="651">
        <f t="shared" si="6"/>
        <v>0</v>
      </c>
      <c r="K30" s="689"/>
    </row>
    <row r="31" spans="1:12" s="356" customFormat="1" ht="26.25" hidden="1" customHeight="1">
      <c r="A31" s="653">
        <v>19</v>
      </c>
      <c r="B31" s="653">
        <v>750</v>
      </c>
      <c r="C31" s="653">
        <v>75023</v>
      </c>
      <c r="D31" s="613" t="s">
        <v>752</v>
      </c>
      <c r="E31" s="618">
        <f>F31</f>
        <v>0</v>
      </c>
      <c r="F31" s="618">
        <f>G31+H31+I31+J31</f>
        <v>0</v>
      </c>
      <c r="G31" s="618">
        <v>0</v>
      </c>
      <c r="H31" s="644">
        <v>0</v>
      </c>
      <c r="I31" s="644">
        <v>0</v>
      </c>
      <c r="J31" s="618">
        <v>0</v>
      </c>
      <c r="K31" s="653" t="s">
        <v>558</v>
      </c>
    </row>
    <row r="32" spans="1:12" s="356" customFormat="1" ht="42.75" hidden="1" customHeight="1">
      <c r="A32" s="883" t="s">
        <v>618</v>
      </c>
      <c r="B32" s="883"/>
      <c r="C32" s="883"/>
      <c r="D32" s="883"/>
      <c r="E32" s="651">
        <f t="shared" ref="E32:J32" si="7">E31</f>
        <v>0</v>
      </c>
      <c r="F32" s="651">
        <f t="shared" si="7"/>
        <v>0</v>
      </c>
      <c r="G32" s="651">
        <f t="shared" si="7"/>
        <v>0</v>
      </c>
      <c r="H32" s="651">
        <f t="shared" si="7"/>
        <v>0</v>
      </c>
      <c r="I32" s="651">
        <f t="shared" si="7"/>
        <v>0</v>
      </c>
      <c r="J32" s="651">
        <f t="shared" si="7"/>
        <v>0</v>
      </c>
      <c r="K32" s="690"/>
    </row>
    <row r="33" spans="1:12" s="356" customFormat="1" ht="30" hidden="1" customHeight="1">
      <c r="A33" s="653">
        <v>16</v>
      </c>
      <c r="B33" s="653">
        <v>754</v>
      </c>
      <c r="C33" s="653">
        <v>75404</v>
      </c>
      <c r="D33" s="613" t="s">
        <v>753</v>
      </c>
      <c r="E33" s="618">
        <f>F33</f>
        <v>0</v>
      </c>
      <c r="F33" s="618">
        <f>G33+H33+I33+J33</f>
        <v>0</v>
      </c>
      <c r="G33" s="618">
        <v>0</v>
      </c>
      <c r="H33" s="618">
        <v>0</v>
      </c>
      <c r="I33" s="618">
        <v>0</v>
      </c>
      <c r="J33" s="618">
        <v>0</v>
      </c>
      <c r="K33" s="653" t="s">
        <v>558</v>
      </c>
    </row>
    <row r="34" spans="1:12" s="356" customFormat="1" ht="29.25" hidden="1" customHeight="1">
      <c r="A34" s="654" t="s">
        <v>569</v>
      </c>
      <c r="B34" s="654">
        <v>754</v>
      </c>
      <c r="C34" s="654">
        <v>75412</v>
      </c>
      <c r="D34" s="655" t="s">
        <v>678</v>
      </c>
      <c r="E34" s="656">
        <f>F34</f>
        <v>0</v>
      </c>
      <c r="F34" s="656">
        <f>G34+H34+I34+J34</f>
        <v>0</v>
      </c>
      <c r="G34" s="656">
        <v>0</v>
      </c>
      <c r="H34" s="656"/>
      <c r="I34" s="656"/>
      <c r="J34" s="656"/>
      <c r="K34" s="654" t="s">
        <v>558</v>
      </c>
    </row>
    <row r="35" spans="1:12" s="356" customFormat="1" ht="33.75" hidden="1" customHeight="1">
      <c r="A35" s="883" t="s">
        <v>663</v>
      </c>
      <c r="B35" s="883"/>
      <c r="C35" s="883"/>
      <c r="D35" s="883"/>
      <c r="E35" s="651">
        <f t="shared" ref="E35:J35" si="8">E33</f>
        <v>0</v>
      </c>
      <c r="F35" s="651">
        <f t="shared" si="8"/>
        <v>0</v>
      </c>
      <c r="G35" s="651">
        <f t="shared" si="8"/>
        <v>0</v>
      </c>
      <c r="H35" s="651">
        <f t="shared" si="8"/>
        <v>0</v>
      </c>
      <c r="I35" s="651">
        <f t="shared" si="8"/>
        <v>0</v>
      </c>
      <c r="J35" s="651">
        <f t="shared" si="8"/>
        <v>0</v>
      </c>
      <c r="K35" s="689"/>
    </row>
    <row r="36" spans="1:12" s="356" customFormat="1" ht="29.25" hidden="1" customHeight="1">
      <c r="A36" s="653">
        <v>14</v>
      </c>
      <c r="B36" s="653">
        <v>758</v>
      </c>
      <c r="C36" s="653">
        <v>75818</v>
      </c>
      <c r="D36" s="613" t="s">
        <v>659</v>
      </c>
      <c r="E36" s="618">
        <f>F36</f>
        <v>0</v>
      </c>
      <c r="F36" s="618">
        <f>G36+H36+I36+J36</f>
        <v>0</v>
      </c>
      <c r="G36" s="618">
        <v>0</v>
      </c>
      <c r="H36" s="618">
        <v>0</v>
      </c>
      <c r="I36" s="618">
        <v>0</v>
      </c>
      <c r="J36" s="618">
        <v>0</v>
      </c>
      <c r="K36" s="653" t="s">
        <v>558</v>
      </c>
    </row>
    <row r="37" spans="1:12" s="356" customFormat="1" ht="40.5" hidden="1" customHeight="1">
      <c r="A37" s="883" t="s">
        <v>754</v>
      </c>
      <c r="B37" s="883"/>
      <c r="C37" s="883"/>
      <c r="D37" s="883"/>
      <c r="E37" s="651">
        <f t="shared" ref="E37:J37" si="9">E36</f>
        <v>0</v>
      </c>
      <c r="F37" s="651">
        <f t="shared" si="9"/>
        <v>0</v>
      </c>
      <c r="G37" s="651">
        <f t="shared" si="9"/>
        <v>0</v>
      </c>
      <c r="H37" s="651">
        <f t="shared" si="9"/>
        <v>0</v>
      </c>
      <c r="I37" s="651">
        <f t="shared" si="9"/>
        <v>0</v>
      </c>
      <c r="J37" s="651">
        <f t="shared" si="9"/>
        <v>0</v>
      </c>
      <c r="K37" s="690"/>
    </row>
    <row r="38" spans="1:12" s="356" customFormat="1" ht="29.25" hidden="1" customHeight="1">
      <c r="A38" s="653">
        <v>19</v>
      </c>
      <c r="B38" s="653">
        <v>801</v>
      </c>
      <c r="C38" s="653">
        <v>80101</v>
      </c>
      <c r="D38" s="613" t="s">
        <v>755</v>
      </c>
      <c r="E38" s="618">
        <f>F38</f>
        <v>0</v>
      </c>
      <c r="F38" s="618">
        <f>G38+H38+I38+J38</f>
        <v>0</v>
      </c>
      <c r="G38" s="618">
        <v>0</v>
      </c>
      <c r="H38" s="644">
        <v>0</v>
      </c>
      <c r="I38" s="644">
        <v>0</v>
      </c>
      <c r="J38" s="618">
        <v>0</v>
      </c>
      <c r="K38" s="653" t="s">
        <v>558</v>
      </c>
    </row>
    <row r="39" spans="1:12" s="445" customFormat="1" ht="30.75" hidden="1" customHeight="1">
      <c r="A39" s="883" t="s">
        <v>756</v>
      </c>
      <c r="B39" s="883"/>
      <c r="C39" s="883"/>
      <c r="D39" s="883"/>
      <c r="E39" s="651">
        <f t="shared" ref="E39:J39" si="10">E38</f>
        <v>0</v>
      </c>
      <c r="F39" s="651">
        <f t="shared" si="10"/>
        <v>0</v>
      </c>
      <c r="G39" s="651">
        <f t="shared" si="10"/>
        <v>0</v>
      </c>
      <c r="H39" s="651">
        <f t="shared" si="10"/>
        <v>0</v>
      </c>
      <c r="I39" s="651">
        <f t="shared" si="10"/>
        <v>0</v>
      </c>
      <c r="J39" s="651">
        <f t="shared" si="10"/>
        <v>0</v>
      </c>
      <c r="K39" s="689"/>
    </row>
    <row r="40" spans="1:12" s="445" customFormat="1" ht="30.75" customHeight="1">
      <c r="A40" s="691">
        <v>15</v>
      </c>
      <c r="B40" s="692">
        <v>851</v>
      </c>
      <c r="C40" s="692">
        <v>85195</v>
      </c>
      <c r="D40" s="692" t="s">
        <v>770</v>
      </c>
      <c r="E40" s="692">
        <f>F40</f>
        <v>155305</v>
      </c>
      <c r="F40" s="692">
        <f>G40+H40+I40+J40</f>
        <v>155305</v>
      </c>
      <c r="G40" s="692">
        <v>155305</v>
      </c>
      <c r="H40" s="692"/>
      <c r="I40" s="692"/>
      <c r="J40" s="692"/>
      <c r="K40" s="642" t="s">
        <v>558</v>
      </c>
    </row>
    <row r="41" spans="1:12" s="445" customFormat="1" ht="30.75" customHeight="1">
      <c r="A41" s="888" t="s">
        <v>772</v>
      </c>
      <c r="B41" s="886"/>
      <c r="C41" s="886"/>
      <c r="D41" s="887"/>
      <c r="E41" s="651">
        <f>E40</f>
        <v>155305</v>
      </c>
      <c r="F41" s="651">
        <f t="shared" ref="F41:J41" si="11">F40</f>
        <v>155305</v>
      </c>
      <c r="G41" s="651">
        <f t="shared" si="11"/>
        <v>155305</v>
      </c>
      <c r="H41" s="651">
        <f t="shared" si="11"/>
        <v>0</v>
      </c>
      <c r="I41" s="651">
        <f t="shared" si="11"/>
        <v>0</v>
      </c>
      <c r="J41" s="651">
        <f t="shared" si="11"/>
        <v>0</v>
      </c>
      <c r="K41" s="646"/>
    </row>
    <row r="42" spans="1:12" s="356" customFormat="1" ht="26.25" customHeight="1">
      <c r="A42" s="635">
        <v>16</v>
      </c>
      <c r="B42" s="653">
        <v>852</v>
      </c>
      <c r="C42" s="653">
        <v>85295</v>
      </c>
      <c r="D42" s="613" t="s">
        <v>757</v>
      </c>
      <c r="E42" s="618">
        <f>F42</f>
        <v>271344</v>
      </c>
      <c r="F42" s="618">
        <f>G42+H42+I42+J42</f>
        <v>271344</v>
      </c>
      <c r="G42" s="618">
        <v>120733.84</v>
      </c>
      <c r="H42" s="639">
        <v>0</v>
      </c>
      <c r="I42" s="639">
        <v>0</v>
      </c>
      <c r="J42" s="639">
        <v>150610.16</v>
      </c>
      <c r="K42" s="642" t="s">
        <v>558</v>
      </c>
    </row>
    <row r="43" spans="1:12" s="356" customFormat="1" ht="39" customHeight="1">
      <c r="A43" s="882" t="s">
        <v>773</v>
      </c>
      <c r="B43" s="883"/>
      <c r="C43" s="883"/>
      <c r="D43" s="883"/>
      <c r="E43" s="651">
        <f t="shared" ref="E43:J43" si="12">E42</f>
        <v>271344</v>
      </c>
      <c r="F43" s="651">
        <f t="shared" si="12"/>
        <v>271344</v>
      </c>
      <c r="G43" s="651">
        <f t="shared" si="12"/>
        <v>120733.84</v>
      </c>
      <c r="H43" s="651">
        <f t="shared" si="12"/>
        <v>0</v>
      </c>
      <c r="I43" s="651">
        <f t="shared" si="12"/>
        <v>0</v>
      </c>
      <c r="J43" s="651">
        <f t="shared" si="12"/>
        <v>150610.16</v>
      </c>
      <c r="K43" s="646"/>
    </row>
    <row r="44" spans="1:12" s="356" customFormat="1" ht="26.25" customHeight="1">
      <c r="A44" s="647">
        <v>17</v>
      </c>
      <c r="B44" s="648">
        <v>853</v>
      </c>
      <c r="C44" s="648">
        <v>85395</v>
      </c>
      <c r="D44" s="613" t="s">
        <v>768</v>
      </c>
      <c r="E44" s="618">
        <f>F44</f>
        <v>65000</v>
      </c>
      <c r="F44" s="618">
        <f>G44+H44+I44+J44</f>
        <v>65000</v>
      </c>
      <c r="G44" s="618">
        <v>15064</v>
      </c>
      <c r="H44" s="618">
        <v>0</v>
      </c>
      <c r="I44" s="618"/>
      <c r="J44" s="618">
        <v>49936</v>
      </c>
      <c r="K44" s="642" t="s">
        <v>558</v>
      </c>
    </row>
    <row r="45" spans="1:12" s="356" customFormat="1" ht="26.25" customHeight="1">
      <c r="A45" s="886" t="s">
        <v>774</v>
      </c>
      <c r="B45" s="886"/>
      <c r="C45" s="886"/>
      <c r="D45" s="887"/>
      <c r="E45" s="651">
        <f>E44</f>
        <v>65000</v>
      </c>
      <c r="F45" s="651">
        <f t="shared" ref="F45:J45" si="13">F44</f>
        <v>65000</v>
      </c>
      <c r="G45" s="651">
        <f t="shared" si="13"/>
        <v>15064</v>
      </c>
      <c r="H45" s="651">
        <f t="shared" si="13"/>
        <v>0</v>
      </c>
      <c r="I45" s="651">
        <f t="shared" si="13"/>
        <v>0</v>
      </c>
      <c r="J45" s="651">
        <f t="shared" si="13"/>
        <v>49936</v>
      </c>
      <c r="K45" s="646"/>
    </row>
    <row r="46" spans="1:12" s="356" customFormat="1" ht="30" customHeight="1">
      <c r="A46" s="648">
        <v>18</v>
      </c>
      <c r="B46" s="648">
        <v>855</v>
      </c>
      <c r="C46" s="648">
        <v>85505</v>
      </c>
      <c r="D46" s="613" t="s">
        <v>769</v>
      </c>
      <c r="E46" s="618">
        <f>F46</f>
        <v>141000</v>
      </c>
      <c r="F46" s="618">
        <f>G46+H46+I46+J46</f>
        <v>141000</v>
      </c>
      <c r="G46" s="618">
        <v>141000</v>
      </c>
      <c r="H46" s="618">
        <v>0</v>
      </c>
      <c r="I46" s="618">
        <v>0</v>
      </c>
      <c r="J46" s="618"/>
      <c r="K46" s="642" t="s">
        <v>558</v>
      </c>
      <c r="L46" s="446"/>
    </row>
    <row r="47" spans="1:12" s="356" customFormat="1" ht="30" customHeight="1">
      <c r="A47" s="888" t="s">
        <v>775</v>
      </c>
      <c r="B47" s="886"/>
      <c r="C47" s="886"/>
      <c r="D47" s="887"/>
      <c r="E47" s="651">
        <f>E46</f>
        <v>141000</v>
      </c>
      <c r="F47" s="651">
        <f t="shared" ref="F47:J47" si="14">F46</f>
        <v>141000</v>
      </c>
      <c r="G47" s="651">
        <f t="shared" si="14"/>
        <v>141000</v>
      </c>
      <c r="H47" s="651">
        <f t="shared" si="14"/>
        <v>0</v>
      </c>
      <c r="I47" s="651">
        <f t="shared" si="14"/>
        <v>0</v>
      </c>
      <c r="J47" s="651">
        <f t="shared" si="14"/>
        <v>0</v>
      </c>
      <c r="K47" s="657"/>
      <c r="L47" s="446"/>
    </row>
    <row r="48" spans="1:12" s="356" customFormat="1" ht="30" customHeight="1">
      <c r="A48" s="635">
        <v>19</v>
      </c>
      <c r="B48" s="658" t="s">
        <v>550</v>
      </c>
      <c r="C48" s="658" t="s">
        <v>563</v>
      </c>
      <c r="D48" s="613" t="s">
        <v>564</v>
      </c>
      <c r="E48" s="618">
        <f>F48+7626+48709.23</f>
        <v>424335.23</v>
      </c>
      <c r="F48" s="644">
        <f>G48+H48+I48+J48</f>
        <v>368000</v>
      </c>
      <c r="G48" s="644">
        <v>0</v>
      </c>
      <c r="H48" s="644">
        <v>368000</v>
      </c>
      <c r="I48" s="644">
        <v>0</v>
      </c>
      <c r="J48" s="644">
        <v>0</v>
      </c>
      <c r="K48" s="642" t="s">
        <v>558</v>
      </c>
      <c r="L48" s="446"/>
    </row>
    <row r="49" spans="1:12" s="356" customFormat="1" ht="30" hidden="1" customHeight="1">
      <c r="A49" s="635">
        <v>24</v>
      </c>
      <c r="B49" s="658" t="s">
        <v>550</v>
      </c>
      <c r="C49" s="658" t="s">
        <v>563</v>
      </c>
      <c r="D49" s="613" t="s">
        <v>680</v>
      </c>
      <c r="E49" s="618">
        <f>F49</f>
        <v>0</v>
      </c>
      <c r="F49" s="644">
        <f>G49+H49+J49</f>
        <v>0</v>
      </c>
      <c r="G49" s="644">
        <v>0</v>
      </c>
      <c r="H49" s="644">
        <v>0</v>
      </c>
      <c r="I49" s="644">
        <v>0</v>
      </c>
      <c r="J49" s="644">
        <v>0</v>
      </c>
      <c r="K49" s="642" t="s">
        <v>558</v>
      </c>
      <c r="L49" s="446"/>
    </row>
    <row r="50" spans="1:12" s="356" customFormat="1" ht="30" hidden="1" customHeight="1">
      <c r="A50" s="635">
        <v>26</v>
      </c>
      <c r="B50" s="658" t="s">
        <v>550</v>
      </c>
      <c r="C50" s="658" t="s">
        <v>690</v>
      </c>
      <c r="D50" s="613" t="s">
        <v>691</v>
      </c>
      <c r="E50" s="638">
        <f>F50</f>
        <v>0</v>
      </c>
      <c r="F50" s="639">
        <f>G50+H50+I50+J50</f>
        <v>0</v>
      </c>
      <c r="G50" s="639">
        <v>0</v>
      </c>
      <c r="H50" s="639">
        <v>0</v>
      </c>
      <c r="I50" s="639">
        <v>0</v>
      </c>
      <c r="J50" s="639">
        <v>0</v>
      </c>
      <c r="K50" s="642" t="s">
        <v>558</v>
      </c>
    </row>
    <row r="51" spans="1:12" s="356" customFormat="1" ht="30" customHeight="1">
      <c r="A51" s="635">
        <v>20</v>
      </c>
      <c r="B51" s="658" t="s">
        <v>550</v>
      </c>
      <c r="C51" s="658" t="s">
        <v>563</v>
      </c>
      <c r="D51" s="613" t="s">
        <v>758</v>
      </c>
      <c r="E51" s="638">
        <f>F51</f>
        <v>170000</v>
      </c>
      <c r="F51" s="639">
        <f>G51+H51+I51+J51</f>
        <v>170000</v>
      </c>
      <c r="G51" s="639">
        <v>0</v>
      </c>
      <c r="H51" s="639">
        <v>170000</v>
      </c>
      <c r="I51" s="639">
        <v>0</v>
      </c>
      <c r="J51" s="639">
        <v>0</v>
      </c>
      <c r="K51" s="642" t="s">
        <v>558</v>
      </c>
    </row>
    <row r="52" spans="1:12" s="356" customFormat="1" ht="30" customHeight="1">
      <c r="A52" s="888" t="s">
        <v>759</v>
      </c>
      <c r="B52" s="886"/>
      <c r="C52" s="886"/>
      <c r="D52" s="887"/>
      <c r="E52" s="651">
        <f t="shared" ref="E52:J52" si="15">SUM(E48:E51)</f>
        <v>594335.23</v>
      </c>
      <c r="F52" s="651">
        <f>SUM(F48:F51)</f>
        <v>538000</v>
      </c>
      <c r="G52" s="651">
        <f>SUM(G48:G51)</f>
        <v>0</v>
      </c>
      <c r="H52" s="651">
        <f t="shared" si="15"/>
        <v>538000</v>
      </c>
      <c r="I52" s="651">
        <f t="shared" si="15"/>
        <v>0</v>
      </c>
      <c r="J52" s="651">
        <f t="shared" si="15"/>
        <v>0</v>
      </c>
      <c r="K52" s="657"/>
    </row>
    <row r="53" spans="1:12" s="356" customFormat="1" ht="39.75" customHeight="1">
      <c r="A53" s="635">
        <v>21</v>
      </c>
      <c r="B53" s="658" t="s">
        <v>565</v>
      </c>
      <c r="C53" s="658" t="s">
        <v>566</v>
      </c>
      <c r="D53" s="613" t="s">
        <v>679</v>
      </c>
      <c r="E53" s="618">
        <f>F53</f>
        <v>40000</v>
      </c>
      <c r="F53" s="644">
        <f t="shared" ref="F53:F58" si="16">G53+H53+I53+J53</f>
        <v>40000</v>
      </c>
      <c r="G53" s="644">
        <v>40000</v>
      </c>
      <c r="H53" s="644">
        <v>0</v>
      </c>
      <c r="I53" s="644">
        <v>0</v>
      </c>
      <c r="J53" s="644">
        <v>0</v>
      </c>
      <c r="K53" s="642" t="s">
        <v>558</v>
      </c>
    </row>
    <row r="54" spans="1:12" s="356" customFormat="1" ht="33" customHeight="1">
      <c r="A54" s="635">
        <v>22</v>
      </c>
      <c r="B54" s="658" t="s">
        <v>565</v>
      </c>
      <c r="C54" s="658" t="s">
        <v>566</v>
      </c>
      <c r="D54" s="613" t="s">
        <v>672</v>
      </c>
      <c r="E54" s="618">
        <f>F54+14276</f>
        <v>192076</v>
      </c>
      <c r="F54" s="644">
        <f t="shared" si="16"/>
        <v>177800</v>
      </c>
      <c r="G54" s="644">
        <v>9546</v>
      </c>
      <c r="H54" s="644">
        <v>0</v>
      </c>
      <c r="I54" s="644">
        <v>0</v>
      </c>
      <c r="J54" s="644">
        <v>168254</v>
      </c>
      <c r="K54" s="642" t="s">
        <v>558</v>
      </c>
    </row>
    <row r="55" spans="1:12" s="356" customFormat="1" ht="30" customHeight="1">
      <c r="A55" s="635">
        <v>23</v>
      </c>
      <c r="B55" s="658" t="s">
        <v>565</v>
      </c>
      <c r="C55" s="658" t="s">
        <v>566</v>
      </c>
      <c r="D55" s="613" t="s">
        <v>693</v>
      </c>
      <c r="E55" s="618">
        <f>F55+861</f>
        <v>70861</v>
      </c>
      <c r="F55" s="644">
        <f t="shared" si="16"/>
        <v>70000</v>
      </c>
      <c r="G55" s="644">
        <v>0</v>
      </c>
      <c r="H55" s="644">
        <v>0</v>
      </c>
      <c r="I55" s="644">
        <v>0</v>
      </c>
      <c r="J55" s="644">
        <v>70000</v>
      </c>
      <c r="K55" s="642" t="s">
        <v>558</v>
      </c>
    </row>
    <row r="56" spans="1:12" s="356" customFormat="1" ht="26.25" customHeight="1">
      <c r="A56" s="635">
        <v>24</v>
      </c>
      <c r="B56" s="658" t="s">
        <v>565</v>
      </c>
      <c r="C56" s="658" t="s">
        <v>566</v>
      </c>
      <c r="D56" s="613" t="s">
        <v>760</v>
      </c>
      <c r="E56" s="618">
        <f>F56</f>
        <v>350000</v>
      </c>
      <c r="F56" s="644">
        <f>G56+H56+I56+J56</f>
        <v>350000</v>
      </c>
      <c r="G56" s="644">
        <v>0</v>
      </c>
      <c r="H56" s="644">
        <v>350000</v>
      </c>
      <c r="I56" s="644">
        <v>0</v>
      </c>
      <c r="J56" s="644">
        <v>0</v>
      </c>
      <c r="K56" s="642" t="s">
        <v>558</v>
      </c>
    </row>
    <row r="57" spans="1:12" s="356" customFormat="1" ht="30" customHeight="1">
      <c r="A57" s="635">
        <v>25</v>
      </c>
      <c r="B57" s="658" t="s">
        <v>565</v>
      </c>
      <c r="C57" s="658" t="s">
        <v>566</v>
      </c>
      <c r="D57" s="613" t="s">
        <v>761</v>
      </c>
      <c r="E57" s="618">
        <f>F57</f>
        <v>90000</v>
      </c>
      <c r="F57" s="644">
        <f t="shared" si="16"/>
        <v>90000</v>
      </c>
      <c r="G57" s="644">
        <v>51853</v>
      </c>
      <c r="H57" s="644">
        <v>38147</v>
      </c>
      <c r="I57" s="644"/>
      <c r="J57" s="644"/>
      <c r="K57" s="642" t="s">
        <v>558</v>
      </c>
    </row>
    <row r="58" spans="1:12" s="356" customFormat="1" ht="30" customHeight="1">
      <c r="A58" s="635">
        <v>26</v>
      </c>
      <c r="B58" s="658" t="s">
        <v>565</v>
      </c>
      <c r="C58" s="658" t="s">
        <v>566</v>
      </c>
      <c r="D58" s="613" t="s">
        <v>762</v>
      </c>
      <c r="E58" s="618">
        <f>F58</f>
        <v>100000</v>
      </c>
      <c r="F58" s="644">
        <f t="shared" si="16"/>
        <v>100000</v>
      </c>
      <c r="G58" s="644">
        <v>0</v>
      </c>
      <c r="H58" s="644">
        <v>100000</v>
      </c>
      <c r="I58" s="644"/>
      <c r="J58" s="644"/>
      <c r="K58" s="642" t="s">
        <v>558</v>
      </c>
    </row>
    <row r="59" spans="1:12" s="356" customFormat="1" ht="30" customHeight="1">
      <c r="A59" s="882" t="s">
        <v>776</v>
      </c>
      <c r="B59" s="883"/>
      <c r="C59" s="883"/>
      <c r="D59" s="883"/>
      <c r="E59" s="651">
        <f>SUM(E53:E58)</f>
        <v>842937</v>
      </c>
      <c r="F59" s="651">
        <f>SUM(F53:F58)</f>
        <v>827800</v>
      </c>
      <c r="G59" s="651">
        <f t="shared" ref="G59:J59" si="17">SUM(G53:G58)</f>
        <v>101399</v>
      </c>
      <c r="H59" s="651">
        <f t="shared" si="17"/>
        <v>488147</v>
      </c>
      <c r="I59" s="651">
        <f t="shared" si="17"/>
        <v>0</v>
      </c>
      <c r="J59" s="651">
        <f t="shared" si="17"/>
        <v>238254</v>
      </c>
      <c r="K59" s="657"/>
    </row>
    <row r="60" spans="1:12" s="356" customFormat="1" ht="34.5" customHeight="1">
      <c r="A60" s="635">
        <v>27</v>
      </c>
      <c r="B60" s="658" t="s">
        <v>559</v>
      </c>
      <c r="C60" s="658" t="s">
        <v>560</v>
      </c>
      <c r="D60" s="613" t="s">
        <v>763</v>
      </c>
      <c r="E60" s="618">
        <f>F60</f>
        <v>65000</v>
      </c>
      <c r="F60" s="644">
        <f>G60+H60+I60+J60</f>
        <v>65000</v>
      </c>
      <c r="G60" s="644">
        <v>35000</v>
      </c>
      <c r="H60" s="644">
        <v>0</v>
      </c>
      <c r="I60" s="644">
        <v>30000</v>
      </c>
      <c r="J60" s="644">
        <v>0</v>
      </c>
      <c r="K60" s="642" t="s">
        <v>558</v>
      </c>
    </row>
    <row r="61" spans="1:12" s="356" customFormat="1" ht="30" customHeight="1">
      <c r="A61" s="882" t="s">
        <v>777</v>
      </c>
      <c r="B61" s="883"/>
      <c r="C61" s="883"/>
      <c r="D61" s="883"/>
      <c r="E61" s="651">
        <f t="shared" ref="E61:J61" si="18">SUM(E60:E60)</f>
        <v>65000</v>
      </c>
      <c r="F61" s="651">
        <f t="shared" si="18"/>
        <v>65000</v>
      </c>
      <c r="G61" s="651">
        <f t="shared" si="18"/>
        <v>35000</v>
      </c>
      <c r="H61" s="651">
        <f t="shared" si="18"/>
        <v>0</v>
      </c>
      <c r="I61" s="651">
        <f t="shared" si="18"/>
        <v>30000</v>
      </c>
      <c r="J61" s="651">
        <f t="shared" si="18"/>
        <v>0</v>
      </c>
      <c r="K61" s="657"/>
    </row>
    <row r="62" spans="1:12" s="356" customFormat="1" ht="30" customHeight="1" thickBot="1">
      <c r="A62" s="884" t="s">
        <v>544</v>
      </c>
      <c r="B62" s="885"/>
      <c r="C62" s="885"/>
      <c r="D62" s="885"/>
      <c r="E62" s="659">
        <f>E22+E28+E30+E32+E39+E52+E59+E61+E37+E35+E43+E47+E41+E45</f>
        <v>11853387.23</v>
      </c>
      <c r="F62" s="659">
        <f t="shared" ref="F62:J62" si="19">F22+F28+F30+F32+F39+F52+F59+F61+F37+F35+F43+F47+F41+F45</f>
        <v>11678543</v>
      </c>
      <c r="G62" s="659">
        <f t="shared" si="19"/>
        <v>1921372.84</v>
      </c>
      <c r="H62" s="659">
        <f t="shared" si="19"/>
        <v>3967373</v>
      </c>
      <c r="I62" s="659">
        <f t="shared" si="19"/>
        <v>4440527</v>
      </c>
      <c r="J62" s="659">
        <f t="shared" si="19"/>
        <v>1150070.1599999999</v>
      </c>
      <c r="K62" s="660"/>
      <c r="L62" s="446"/>
    </row>
    <row r="63" spans="1:12" ht="12.95" customHeight="1">
      <c r="A63" s="426"/>
      <c r="B63" s="426"/>
      <c r="C63" s="426"/>
      <c r="D63" s="426"/>
      <c r="E63" s="426"/>
      <c r="F63" s="426"/>
      <c r="G63" s="426"/>
      <c r="H63" s="426"/>
      <c r="I63" s="426"/>
      <c r="J63" s="426"/>
      <c r="K63" s="426"/>
    </row>
    <row r="64" spans="1:12" ht="12.95" customHeight="1">
      <c r="A64" s="426"/>
      <c r="B64" s="426"/>
      <c r="C64" s="426"/>
      <c r="D64" s="426"/>
      <c r="E64" s="436"/>
      <c r="F64" s="443"/>
      <c r="G64" s="426"/>
      <c r="H64" s="426"/>
      <c r="I64" s="426"/>
      <c r="J64" s="426"/>
      <c r="K64" s="426"/>
    </row>
    <row r="65" spans="1:11" ht="12.95" customHeight="1">
      <c r="A65" s="426"/>
      <c r="B65" s="426"/>
      <c r="C65" s="426"/>
      <c r="D65" s="426"/>
      <c r="E65" s="426"/>
      <c r="F65" s="443"/>
      <c r="G65" s="443"/>
      <c r="H65" s="426"/>
      <c r="I65" s="426"/>
      <c r="J65" s="426"/>
      <c r="K65" s="426"/>
    </row>
    <row r="66" spans="1:11" ht="12.95" customHeight="1">
      <c r="A66" s="426"/>
      <c r="B66" s="426"/>
      <c r="C66" s="426"/>
      <c r="D66" s="426"/>
      <c r="E66" s="426"/>
      <c r="F66" s="443"/>
      <c r="G66" s="426"/>
      <c r="H66" s="426"/>
      <c r="I66" s="426"/>
      <c r="J66" s="426"/>
      <c r="K66" s="426"/>
    </row>
    <row r="67" spans="1:11" ht="12.95" customHeight="1">
      <c r="A67" s="426"/>
      <c r="B67" s="426"/>
      <c r="C67" s="426"/>
      <c r="D67" s="426"/>
      <c r="E67" s="443"/>
      <c r="F67" s="443"/>
      <c r="G67" s="426"/>
      <c r="H67" s="426"/>
      <c r="I67" s="426"/>
      <c r="J67" s="426"/>
      <c r="K67" s="426"/>
    </row>
    <row r="68" spans="1:11">
      <c r="A68" s="426"/>
      <c r="B68" s="426"/>
      <c r="C68" s="426"/>
      <c r="D68" s="426"/>
      <c r="E68" s="426"/>
      <c r="F68" s="426"/>
      <c r="G68" s="426"/>
      <c r="H68" s="426"/>
      <c r="I68" s="426"/>
      <c r="J68" s="426"/>
      <c r="K68" s="426"/>
    </row>
    <row r="69" spans="1:11">
      <c r="A69" s="426"/>
      <c r="B69" s="426"/>
      <c r="C69" s="426"/>
      <c r="D69" s="426"/>
      <c r="E69" s="426"/>
      <c r="F69" s="443"/>
      <c r="G69" s="426"/>
      <c r="H69" s="426"/>
      <c r="I69" s="426"/>
      <c r="J69" s="426"/>
      <c r="K69" s="426"/>
    </row>
    <row r="70" spans="1:11">
      <c r="A70" s="426"/>
      <c r="B70" s="426"/>
      <c r="C70" s="426"/>
      <c r="D70" s="426"/>
      <c r="E70" s="426"/>
      <c r="F70" s="443"/>
      <c r="G70" s="426"/>
      <c r="H70" s="426"/>
      <c r="I70" s="426"/>
      <c r="J70" s="426"/>
      <c r="K70" s="426"/>
    </row>
    <row r="71" spans="1:11">
      <c r="A71" s="426"/>
      <c r="B71" s="426"/>
      <c r="C71" s="426"/>
      <c r="D71" s="426"/>
      <c r="E71" s="426"/>
      <c r="F71" s="443"/>
      <c r="G71" s="426"/>
      <c r="H71" s="426"/>
      <c r="I71" s="426"/>
      <c r="J71" s="426"/>
      <c r="K71" s="426"/>
    </row>
    <row r="72" spans="1:11">
      <c r="A72" s="426"/>
      <c r="B72" s="426"/>
      <c r="C72" s="426"/>
      <c r="D72" s="426"/>
      <c r="E72" s="426"/>
      <c r="F72" s="426"/>
      <c r="G72" s="426"/>
      <c r="H72" s="426"/>
      <c r="I72" s="426"/>
      <c r="J72" s="426"/>
      <c r="K72" s="426"/>
    </row>
    <row r="73" spans="1:11">
      <c r="A73" s="426"/>
      <c r="B73" s="426"/>
      <c r="C73" s="426"/>
      <c r="D73" s="426"/>
      <c r="E73" s="426"/>
      <c r="F73" s="426"/>
      <c r="G73" s="426"/>
      <c r="H73" s="426"/>
      <c r="I73" s="426"/>
      <c r="J73" s="426"/>
      <c r="K73" s="426"/>
    </row>
    <row r="74" spans="1:11">
      <c r="A74" s="426"/>
      <c r="B74" s="426"/>
      <c r="C74" s="426"/>
      <c r="D74" s="426"/>
      <c r="E74" s="426"/>
      <c r="F74" s="426"/>
      <c r="G74" s="426"/>
      <c r="H74" s="426"/>
      <c r="I74" s="426"/>
      <c r="J74" s="426"/>
      <c r="K74" s="426"/>
    </row>
    <row r="75" spans="1:11" ht="12.95" customHeight="1">
      <c r="A75" s="426"/>
      <c r="B75" s="426"/>
      <c r="C75" s="426"/>
      <c r="D75" s="426"/>
      <c r="E75" s="426"/>
      <c r="F75" s="426"/>
      <c r="G75" s="426"/>
      <c r="H75" s="426"/>
      <c r="I75" s="426"/>
      <c r="J75" s="426"/>
      <c r="K75" s="426"/>
    </row>
    <row r="76" spans="1:11">
      <c r="A76" s="426"/>
      <c r="B76" s="426"/>
      <c r="C76" s="426"/>
      <c r="D76" s="426"/>
      <c r="E76" s="426"/>
      <c r="F76" s="426"/>
      <c r="G76" s="426"/>
      <c r="H76" s="426"/>
      <c r="I76" s="426"/>
      <c r="J76" s="426"/>
      <c r="K76" s="426"/>
    </row>
    <row r="77" spans="1:11" ht="12.95" customHeight="1">
      <c r="A77" s="426"/>
      <c r="B77" s="426"/>
      <c r="C77" s="426"/>
      <c r="D77" s="426"/>
      <c r="E77" s="426"/>
      <c r="F77" s="426"/>
      <c r="G77" s="426"/>
      <c r="H77" s="426"/>
      <c r="I77" s="426"/>
      <c r="J77" s="426"/>
      <c r="K77" s="426"/>
    </row>
    <row r="78" spans="1:11">
      <c r="A78" s="426"/>
      <c r="B78" s="426"/>
      <c r="C78" s="426"/>
      <c r="D78" s="426"/>
      <c r="E78" s="426"/>
      <c r="F78" s="426"/>
      <c r="G78" s="426"/>
      <c r="H78" s="426"/>
      <c r="I78" s="426"/>
      <c r="J78" s="426"/>
      <c r="K78" s="426"/>
    </row>
    <row r="79" spans="1:11">
      <c r="A79" s="426"/>
      <c r="B79" s="426"/>
      <c r="C79" s="426"/>
      <c r="D79" s="426"/>
      <c r="E79" s="426"/>
      <c r="F79" s="426"/>
      <c r="G79" s="426"/>
      <c r="H79" s="426"/>
      <c r="I79" s="426"/>
      <c r="J79" s="426"/>
      <c r="K79" s="426"/>
    </row>
    <row r="80" spans="1:11">
      <c r="A80" s="426"/>
      <c r="B80" s="426"/>
      <c r="C80" s="426"/>
      <c r="D80" s="426"/>
      <c r="E80" s="426"/>
      <c r="F80" s="426"/>
      <c r="G80" s="426"/>
      <c r="H80" s="426"/>
      <c r="I80" s="426"/>
      <c r="J80" s="426"/>
      <c r="K80" s="426"/>
    </row>
    <row r="81" spans="1:11" ht="12.95" customHeight="1">
      <c r="A81" s="426"/>
      <c r="B81" s="426"/>
      <c r="C81" s="426"/>
      <c r="D81" s="426"/>
      <c r="E81" s="426"/>
      <c r="F81" s="426"/>
      <c r="G81" s="426"/>
      <c r="H81" s="426"/>
      <c r="I81" s="426"/>
      <c r="J81" s="426"/>
      <c r="K81" s="426"/>
    </row>
    <row r="437" spans="7:8">
      <c r="H437" s="6"/>
    </row>
    <row r="439" spans="7:8">
      <c r="G439" s="6"/>
    </row>
  </sheetData>
  <mergeCells count="32">
    <mergeCell ref="F7:J7"/>
    <mergeCell ref="H1:K1"/>
    <mergeCell ref="H2:K3"/>
    <mergeCell ref="H4:K4"/>
    <mergeCell ref="A5:I5"/>
    <mergeCell ref="E7:E11"/>
    <mergeCell ref="K7:K11"/>
    <mergeCell ref="F8:F11"/>
    <mergeCell ref="G8:J8"/>
    <mergeCell ref="G9:G11"/>
    <mergeCell ref="H9:H11"/>
    <mergeCell ref="I9:I11"/>
    <mergeCell ref="J9:J11"/>
    <mergeCell ref="A7:A11"/>
    <mergeCell ref="B7:B11"/>
    <mergeCell ref="C7:C11"/>
    <mergeCell ref="D7:D11"/>
    <mergeCell ref="A59:D59"/>
    <mergeCell ref="A22:D22"/>
    <mergeCell ref="A28:D28"/>
    <mergeCell ref="A30:D30"/>
    <mergeCell ref="A47:D47"/>
    <mergeCell ref="A52:D52"/>
    <mergeCell ref="A61:D61"/>
    <mergeCell ref="A62:D62"/>
    <mergeCell ref="A32:D32"/>
    <mergeCell ref="A35:D35"/>
    <mergeCell ref="A37:D37"/>
    <mergeCell ref="A39:D39"/>
    <mergeCell ref="A43:D43"/>
    <mergeCell ref="A45:D45"/>
    <mergeCell ref="A41:D41"/>
  </mergeCells>
  <pageMargins left="0.31496062992125984" right="0" top="0" bottom="0.55118110236220474" header="0.31496062992125984" footer="0.31496062992125984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2:K22"/>
  <sheetViews>
    <sheetView tabSelected="1" workbookViewId="0">
      <selection activeCell="P12" sqref="P12"/>
    </sheetView>
  </sheetViews>
  <sheetFormatPr defaultRowHeight="12.75"/>
  <cols>
    <col min="1" max="2" width="9.28515625" bestFit="1" customWidth="1"/>
    <col min="4" max="4" width="9.85546875" bestFit="1" customWidth="1"/>
    <col min="5" max="5" width="4.28515625" customWidth="1"/>
    <col min="6" max="6" width="3.42578125" customWidth="1"/>
    <col min="7" max="7" width="7.140625" customWidth="1"/>
    <col min="8" max="8" width="11" customWidth="1"/>
    <col min="9" max="9" width="9.85546875" bestFit="1" customWidth="1"/>
  </cols>
  <sheetData>
    <row r="2" spans="1:11">
      <c r="A2" s="426"/>
      <c r="B2" s="426"/>
      <c r="C2" s="426"/>
      <c r="D2" s="426"/>
      <c r="E2" s="426"/>
      <c r="F2" s="426"/>
      <c r="G2" s="439" t="s">
        <v>703</v>
      </c>
      <c r="H2" s="439"/>
      <c r="I2" s="440"/>
      <c r="J2" s="422"/>
      <c r="K2" s="422"/>
    </row>
    <row r="3" spans="1:11" ht="12.75" customHeight="1">
      <c r="A3" s="426"/>
      <c r="B3" s="426"/>
      <c r="C3" s="426"/>
      <c r="D3" s="426"/>
      <c r="E3" s="426"/>
      <c r="F3" s="426"/>
      <c r="G3" s="906" t="s">
        <v>778</v>
      </c>
      <c r="H3" s="906"/>
      <c r="I3" s="906"/>
      <c r="J3" s="423"/>
      <c r="K3" s="423"/>
    </row>
    <row r="4" spans="1:11">
      <c r="A4" s="426"/>
      <c r="B4" s="426"/>
      <c r="C4" s="426"/>
      <c r="D4" s="426"/>
      <c r="E4" s="426"/>
      <c r="F4" s="426"/>
      <c r="G4" s="906"/>
      <c r="H4" s="906"/>
      <c r="I4" s="906"/>
      <c r="J4" s="423"/>
      <c r="K4" s="423"/>
    </row>
    <row r="5" spans="1:11">
      <c r="A5" s="426"/>
      <c r="B5" s="426"/>
      <c r="C5" s="426"/>
      <c r="D5" s="426"/>
      <c r="E5" s="426"/>
      <c r="F5" s="426"/>
      <c r="G5" s="906"/>
      <c r="H5" s="906"/>
      <c r="I5" s="906"/>
    </row>
    <row r="6" spans="1:11" ht="12.75" customHeight="1">
      <c r="A6" s="904" t="s">
        <v>731</v>
      </c>
      <c r="B6" s="904"/>
      <c r="C6" s="904"/>
      <c r="D6" s="904"/>
      <c r="E6" s="904"/>
      <c r="F6" s="904"/>
      <c r="G6" s="904"/>
      <c r="H6" s="904"/>
      <c r="I6" s="904"/>
      <c r="J6" s="425"/>
      <c r="K6" s="425"/>
    </row>
    <row r="7" spans="1:11" ht="41.25" customHeight="1" thickBot="1">
      <c r="A7" s="905"/>
      <c r="B7" s="905"/>
      <c r="C7" s="905"/>
      <c r="D7" s="905"/>
      <c r="E7" s="905"/>
      <c r="F7" s="905"/>
      <c r="G7" s="905"/>
      <c r="H7" s="905"/>
      <c r="I7" s="905"/>
      <c r="J7" s="425"/>
      <c r="K7" s="425"/>
    </row>
    <row r="8" spans="1:11">
      <c r="A8" s="907" t="s">
        <v>506</v>
      </c>
      <c r="B8" s="908"/>
      <c r="C8" s="908"/>
      <c r="D8" s="909"/>
      <c r="E8" s="907" t="s">
        <v>502</v>
      </c>
      <c r="F8" s="908"/>
      <c r="G8" s="908"/>
      <c r="H8" s="908"/>
      <c r="I8" s="909"/>
    </row>
    <row r="9" spans="1:11" ht="27" customHeight="1">
      <c r="A9" s="450" t="s">
        <v>69</v>
      </c>
      <c r="B9" s="451" t="s">
        <v>468</v>
      </c>
      <c r="C9" s="451" t="s">
        <v>554</v>
      </c>
      <c r="D9" s="452" t="s">
        <v>508</v>
      </c>
      <c r="E9" s="910" t="s">
        <v>69</v>
      </c>
      <c r="F9" s="911"/>
      <c r="G9" s="451" t="s">
        <v>468</v>
      </c>
      <c r="H9" s="451" t="s">
        <v>554</v>
      </c>
      <c r="I9" s="452" t="s">
        <v>508</v>
      </c>
    </row>
    <row r="10" spans="1:11" ht="37.5" customHeight="1">
      <c r="A10" s="910">
        <v>900</v>
      </c>
      <c r="B10" s="911">
        <v>90002</v>
      </c>
      <c r="C10" s="914" t="s">
        <v>555</v>
      </c>
      <c r="D10" s="916">
        <v>1603482</v>
      </c>
      <c r="E10" s="910">
        <v>900</v>
      </c>
      <c r="F10" s="911"/>
      <c r="G10" s="911">
        <v>90002</v>
      </c>
      <c r="H10" s="448">
        <v>4010</v>
      </c>
      <c r="I10" s="453">
        <v>55152</v>
      </c>
    </row>
    <row r="11" spans="1:11" ht="37.5" customHeight="1">
      <c r="A11" s="910"/>
      <c r="B11" s="911"/>
      <c r="C11" s="914"/>
      <c r="D11" s="916"/>
      <c r="E11" s="910"/>
      <c r="F11" s="911"/>
      <c r="G11" s="911"/>
      <c r="H11" s="448">
        <v>4040</v>
      </c>
      <c r="I11" s="453">
        <v>3950</v>
      </c>
    </row>
    <row r="12" spans="1:11" ht="37.5" customHeight="1">
      <c r="A12" s="910"/>
      <c r="B12" s="911"/>
      <c r="C12" s="914"/>
      <c r="D12" s="916"/>
      <c r="E12" s="910"/>
      <c r="F12" s="911"/>
      <c r="G12" s="911"/>
      <c r="H12" s="448">
        <v>4110</v>
      </c>
      <c r="I12" s="453">
        <v>10160</v>
      </c>
    </row>
    <row r="13" spans="1:11" ht="37.5" customHeight="1">
      <c r="A13" s="910"/>
      <c r="B13" s="911"/>
      <c r="C13" s="914"/>
      <c r="D13" s="916"/>
      <c r="E13" s="910"/>
      <c r="F13" s="911"/>
      <c r="G13" s="911"/>
      <c r="H13" s="448">
        <v>4120</v>
      </c>
      <c r="I13" s="453">
        <v>2040</v>
      </c>
    </row>
    <row r="14" spans="1:11" ht="37.5" customHeight="1">
      <c r="A14" s="910"/>
      <c r="B14" s="911"/>
      <c r="C14" s="914"/>
      <c r="D14" s="916"/>
      <c r="E14" s="910"/>
      <c r="F14" s="911"/>
      <c r="G14" s="911"/>
      <c r="H14" s="448">
        <v>4210</v>
      </c>
      <c r="I14" s="453">
        <v>10000</v>
      </c>
    </row>
    <row r="15" spans="1:11" ht="37.5" hidden="1" customHeight="1">
      <c r="A15" s="910"/>
      <c r="B15" s="911"/>
      <c r="C15" s="914"/>
      <c r="D15" s="916"/>
      <c r="E15" s="910"/>
      <c r="F15" s="911"/>
      <c r="G15" s="911"/>
      <c r="H15" s="448">
        <v>4260</v>
      </c>
      <c r="I15" s="453">
        <v>0</v>
      </c>
    </row>
    <row r="16" spans="1:11" ht="37.5" customHeight="1">
      <c r="A16" s="910"/>
      <c r="B16" s="911"/>
      <c r="C16" s="914"/>
      <c r="D16" s="916"/>
      <c r="E16" s="910"/>
      <c r="F16" s="911"/>
      <c r="G16" s="911"/>
      <c r="H16" s="448">
        <v>4300</v>
      </c>
      <c r="I16" s="453">
        <v>1516180</v>
      </c>
    </row>
    <row r="17" spans="1:9" ht="37.5" hidden="1" customHeight="1">
      <c r="A17" s="910"/>
      <c r="B17" s="911"/>
      <c r="C17" s="914"/>
      <c r="D17" s="916"/>
      <c r="E17" s="910"/>
      <c r="F17" s="911"/>
      <c r="G17" s="911"/>
      <c r="H17" s="448">
        <v>4360</v>
      </c>
      <c r="I17" s="453">
        <v>0</v>
      </c>
    </row>
    <row r="18" spans="1:9" ht="37.5" customHeight="1" thickBot="1">
      <c r="A18" s="910"/>
      <c r="B18" s="911"/>
      <c r="C18" s="914"/>
      <c r="D18" s="916"/>
      <c r="E18" s="910"/>
      <c r="F18" s="911"/>
      <c r="G18" s="911"/>
      <c r="H18" s="448">
        <v>4390</v>
      </c>
      <c r="I18" s="453">
        <v>6000</v>
      </c>
    </row>
    <row r="19" spans="1:9" ht="37.5" hidden="1" customHeight="1">
      <c r="A19" s="910"/>
      <c r="B19" s="911"/>
      <c r="C19" s="914"/>
      <c r="D19" s="916"/>
      <c r="E19" s="910"/>
      <c r="F19" s="911"/>
      <c r="G19" s="911"/>
      <c r="H19" s="448">
        <v>4410</v>
      </c>
      <c r="I19" s="453">
        <v>0</v>
      </c>
    </row>
    <row r="20" spans="1:9" ht="37.5" hidden="1" customHeight="1">
      <c r="A20" s="910"/>
      <c r="B20" s="911"/>
      <c r="C20" s="914"/>
      <c r="D20" s="916"/>
      <c r="E20" s="910"/>
      <c r="F20" s="911"/>
      <c r="G20" s="911"/>
      <c r="H20" s="448">
        <v>4430</v>
      </c>
      <c r="I20" s="453">
        <v>0</v>
      </c>
    </row>
    <row r="21" spans="1:9" ht="37.5" hidden="1" customHeight="1" thickBot="1">
      <c r="A21" s="912"/>
      <c r="B21" s="913"/>
      <c r="C21" s="915"/>
      <c r="D21" s="917"/>
      <c r="E21" s="912"/>
      <c r="F21" s="913"/>
      <c r="G21" s="913"/>
      <c r="H21" s="454">
        <v>4700</v>
      </c>
      <c r="I21" s="455">
        <v>0</v>
      </c>
    </row>
    <row r="22" spans="1:9" ht="38.25" customHeight="1" thickBot="1">
      <c r="A22" s="901" t="s">
        <v>544</v>
      </c>
      <c r="B22" s="902"/>
      <c r="C22" s="902"/>
      <c r="D22" s="456">
        <f>D10</f>
        <v>1603482</v>
      </c>
      <c r="E22" s="903" t="s">
        <v>544</v>
      </c>
      <c r="F22" s="903"/>
      <c r="G22" s="903"/>
      <c r="H22" s="903"/>
      <c r="I22" s="457">
        <f>SUM(I10:I21)</f>
        <v>1603482</v>
      </c>
    </row>
  </sheetData>
  <mergeCells count="13">
    <mergeCell ref="A22:C22"/>
    <mergeCell ref="E22:H22"/>
    <mergeCell ref="A6:I7"/>
    <mergeCell ref="G3:I5"/>
    <mergeCell ref="A8:D8"/>
    <mergeCell ref="E8:I8"/>
    <mergeCell ref="E9:F9"/>
    <mergeCell ref="A10:A21"/>
    <mergeCell ref="B10:B21"/>
    <mergeCell ref="C10:C21"/>
    <mergeCell ref="D10:D21"/>
    <mergeCell ref="E10:F21"/>
    <mergeCell ref="G10:G21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2:H43"/>
  <sheetViews>
    <sheetView view="pageLayout" workbookViewId="0">
      <selection activeCell="D2" sqref="A2:F43"/>
    </sheetView>
  </sheetViews>
  <sheetFormatPr defaultRowHeight="12.75"/>
  <cols>
    <col min="1" max="1" width="3.85546875" style="5" customWidth="1"/>
    <col min="2" max="2" width="1.28515625" style="419" customWidth="1"/>
    <col min="3" max="3" width="5.5703125" style="5" customWidth="1"/>
    <col min="4" max="4" width="36" style="5" customWidth="1"/>
    <col min="5" max="5" width="18" style="5" customWidth="1"/>
    <col min="6" max="6" width="23.42578125" style="5" customWidth="1"/>
    <col min="7" max="7" width="25.42578125" customWidth="1"/>
    <col min="8" max="8" width="11.5703125" customWidth="1"/>
    <col min="9" max="9" width="12.7109375" customWidth="1"/>
  </cols>
  <sheetData>
    <row r="2" spans="1:8" ht="15">
      <c r="A2" s="693"/>
      <c r="B2" s="694"/>
      <c r="C2" s="695"/>
      <c r="D2" s="696" t="s">
        <v>546</v>
      </c>
      <c r="E2" s="696"/>
      <c r="F2" s="697" t="s">
        <v>704</v>
      </c>
      <c r="G2" s="428"/>
      <c r="H2" s="428"/>
    </row>
    <row r="3" spans="1:8" ht="12.75" customHeight="1">
      <c r="A3" s="693"/>
      <c r="B3" s="694"/>
      <c r="C3" s="919" t="s">
        <v>705</v>
      </c>
      <c r="D3" s="919"/>
      <c r="E3" s="919"/>
      <c r="F3" s="919"/>
      <c r="G3" s="429"/>
      <c r="H3" s="429"/>
    </row>
    <row r="4" spans="1:8" ht="16.5" customHeight="1">
      <c r="A4" s="693"/>
      <c r="B4" s="694"/>
      <c r="C4" s="919"/>
      <c r="D4" s="919"/>
      <c r="E4" s="919"/>
      <c r="F4" s="919"/>
      <c r="G4" s="429"/>
      <c r="H4" s="429"/>
    </row>
    <row r="5" spans="1:8" ht="15">
      <c r="A5" s="918" t="s">
        <v>706</v>
      </c>
      <c r="B5" s="918"/>
      <c r="C5" s="918"/>
      <c r="D5" s="918"/>
      <c r="E5" s="918"/>
      <c r="F5" s="918"/>
      <c r="G5" s="428"/>
    </row>
    <row r="6" spans="1:8">
      <c r="A6" s="918"/>
      <c r="B6" s="918"/>
      <c r="C6" s="918"/>
      <c r="D6" s="918"/>
      <c r="E6" s="918"/>
      <c r="F6" s="918"/>
    </row>
    <row r="7" spans="1:8">
      <c r="A7" s="918"/>
      <c r="B7" s="918"/>
      <c r="C7" s="918"/>
      <c r="D7" s="918"/>
      <c r="E7" s="918"/>
      <c r="F7" s="918"/>
    </row>
    <row r="8" spans="1:8" ht="13.5" thickBot="1">
      <c r="A8" s="693"/>
      <c r="B8" s="694"/>
      <c r="C8" s="693"/>
      <c r="D8" s="693"/>
      <c r="E8" s="693"/>
      <c r="F8" s="693"/>
    </row>
    <row r="9" spans="1:8" ht="43.5" thickBot="1">
      <c r="A9" s="693"/>
      <c r="B9" s="694"/>
      <c r="C9" s="698" t="s">
        <v>619</v>
      </c>
      <c r="D9" s="699" t="s">
        <v>620</v>
      </c>
      <c r="E9" s="699" t="s">
        <v>648</v>
      </c>
      <c r="F9" s="699" t="s">
        <v>649</v>
      </c>
    </row>
    <row r="10" spans="1:8" ht="21.2" customHeight="1" thickBot="1">
      <c r="A10" s="693"/>
      <c r="B10" s="694"/>
      <c r="C10" s="700" t="s">
        <v>4</v>
      </c>
      <c r="D10" s="701" t="s">
        <v>621</v>
      </c>
      <c r="E10" s="702">
        <v>16813.689999999999</v>
      </c>
      <c r="F10" s="702">
        <v>16813.689999999999</v>
      </c>
    </row>
    <row r="11" spans="1:8" ht="21.2" customHeight="1" thickBot="1">
      <c r="A11" s="693"/>
      <c r="B11" s="694"/>
      <c r="C11" s="700" t="s">
        <v>5</v>
      </c>
      <c r="D11" s="701" t="s">
        <v>622</v>
      </c>
      <c r="E11" s="702">
        <v>14357.76</v>
      </c>
      <c r="F11" s="702">
        <v>14357.76</v>
      </c>
    </row>
    <row r="12" spans="1:8" ht="21.2" customHeight="1" thickBot="1">
      <c r="A12" s="693"/>
      <c r="B12" s="694"/>
      <c r="C12" s="700" t="s">
        <v>6</v>
      </c>
      <c r="D12" s="701" t="s">
        <v>623</v>
      </c>
      <c r="E12" s="702">
        <v>15453.48</v>
      </c>
      <c r="F12" s="702">
        <v>15453.48</v>
      </c>
    </row>
    <row r="13" spans="1:8" ht="21.2" customHeight="1" thickBot="1">
      <c r="A13" s="693"/>
      <c r="B13" s="694"/>
      <c r="C13" s="700" t="s">
        <v>7</v>
      </c>
      <c r="D13" s="701" t="s">
        <v>624</v>
      </c>
      <c r="E13" s="702">
        <v>10314.92</v>
      </c>
      <c r="F13" s="702">
        <v>10314.92</v>
      </c>
    </row>
    <row r="14" spans="1:8" ht="21.2" customHeight="1" thickBot="1">
      <c r="A14" s="693"/>
      <c r="B14" s="694"/>
      <c r="C14" s="700" t="s">
        <v>8</v>
      </c>
      <c r="D14" s="701" t="s">
        <v>625</v>
      </c>
      <c r="E14" s="702">
        <v>13073.12</v>
      </c>
      <c r="F14" s="702">
        <v>13073.12</v>
      </c>
    </row>
    <row r="15" spans="1:8" ht="21.2" customHeight="1" thickBot="1">
      <c r="A15" s="693"/>
      <c r="B15" s="694"/>
      <c r="C15" s="700" t="s">
        <v>64</v>
      </c>
      <c r="D15" s="701" t="s">
        <v>626</v>
      </c>
      <c r="E15" s="702">
        <v>15604.62</v>
      </c>
      <c r="F15" s="702">
        <v>15604.62</v>
      </c>
    </row>
    <row r="16" spans="1:8" ht="21.2" customHeight="1" thickBot="1">
      <c r="A16" s="693"/>
      <c r="B16" s="694"/>
      <c r="C16" s="700" t="s">
        <v>65</v>
      </c>
      <c r="D16" s="701" t="s">
        <v>627</v>
      </c>
      <c r="E16" s="702">
        <v>11183.94</v>
      </c>
      <c r="F16" s="702">
        <v>11183.94</v>
      </c>
    </row>
    <row r="17" spans="1:6" ht="21.2" customHeight="1" thickBot="1">
      <c r="A17" s="693"/>
      <c r="B17" s="694"/>
      <c r="C17" s="700" t="s">
        <v>66</v>
      </c>
      <c r="D17" s="701" t="s">
        <v>628</v>
      </c>
      <c r="E17" s="702">
        <v>13942.14</v>
      </c>
      <c r="F17" s="702">
        <v>13942.14</v>
      </c>
    </row>
    <row r="18" spans="1:6" ht="21.2" customHeight="1" thickBot="1">
      <c r="A18" s="693"/>
      <c r="B18" s="694"/>
      <c r="C18" s="700" t="s">
        <v>477</v>
      </c>
      <c r="D18" s="701" t="s">
        <v>629</v>
      </c>
      <c r="E18" s="702">
        <v>13753.22</v>
      </c>
      <c r="F18" s="702">
        <v>13753.22</v>
      </c>
    </row>
    <row r="19" spans="1:6" ht="21.2" customHeight="1" thickBot="1">
      <c r="A19" s="693"/>
      <c r="B19" s="694"/>
      <c r="C19" s="700" t="s">
        <v>478</v>
      </c>
      <c r="D19" s="701" t="s">
        <v>630</v>
      </c>
      <c r="E19" s="702">
        <v>37783.58</v>
      </c>
      <c r="F19" s="702">
        <v>37783.58</v>
      </c>
    </row>
    <row r="20" spans="1:6" ht="21.2" customHeight="1" thickBot="1">
      <c r="A20" s="693"/>
      <c r="B20" s="694"/>
      <c r="C20" s="700" t="s">
        <v>479</v>
      </c>
      <c r="D20" s="701" t="s">
        <v>631</v>
      </c>
      <c r="E20" s="702">
        <v>15037.87</v>
      </c>
      <c r="F20" s="702">
        <v>15037.87</v>
      </c>
    </row>
    <row r="21" spans="1:6" ht="21.2" customHeight="1" thickBot="1">
      <c r="A21" s="693"/>
      <c r="B21" s="694"/>
      <c r="C21" s="700" t="s">
        <v>567</v>
      </c>
      <c r="D21" s="701" t="s">
        <v>632</v>
      </c>
      <c r="E21" s="702">
        <v>19911.95</v>
      </c>
      <c r="F21" s="702">
        <v>19911.95</v>
      </c>
    </row>
    <row r="22" spans="1:6" ht="21.2" customHeight="1" thickBot="1">
      <c r="A22" s="693"/>
      <c r="B22" s="694"/>
      <c r="C22" s="700" t="s">
        <v>568</v>
      </c>
      <c r="D22" s="701" t="s">
        <v>633</v>
      </c>
      <c r="E22" s="702">
        <v>23841.439999999999</v>
      </c>
      <c r="F22" s="702">
        <v>23841.439999999999</v>
      </c>
    </row>
    <row r="23" spans="1:6" ht="21.2" customHeight="1" thickBot="1">
      <c r="A23" s="693"/>
      <c r="B23" s="694"/>
      <c r="C23" s="700" t="s">
        <v>569</v>
      </c>
      <c r="D23" s="701" t="s">
        <v>634</v>
      </c>
      <c r="E23" s="702">
        <v>16662.560000000001</v>
      </c>
      <c r="F23" s="702">
        <v>16662.560000000001</v>
      </c>
    </row>
    <row r="24" spans="1:6" ht="21.2" customHeight="1" thickBot="1">
      <c r="A24" s="693"/>
      <c r="B24" s="694"/>
      <c r="C24" s="700" t="s">
        <v>570</v>
      </c>
      <c r="D24" s="701" t="s">
        <v>635</v>
      </c>
      <c r="E24" s="702">
        <v>25541.7</v>
      </c>
      <c r="F24" s="702">
        <v>25541.7</v>
      </c>
    </row>
    <row r="25" spans="1:6" ht="21.2" customHeight="1" thickBot="1">
      <c r="A25" s="693"/>
      <c r="B25" s="694"/>
      <c r="C25" s="700" t="s">
        <v>571</v>
      </c>
      <c r="D25" s="701" t="s">
        <v>636</v>
      </c>
      <c r="E25" s="702">
        <v>37783.58</v>
      </c>
      <c r="F25" s="702">
        <v>37783.58</v>
      </c>
    </row>
    <row r="26" spans="1:6" ht="21.2" customHeight="1" thickBot="1">
      <c r="A26" s="693"/>
      <c r="B26" s="694"/>
      <c r="C26" s="700" t="s">
        <v>572</v>
      </c>
      <c r="D26" s="701" t="s">
        <v>637</v>
      </c>
      <c r="E26" s="702">
        <v>19760.810000000001</v>
      </c>
      <c r="F26" s="702">
        <v>19760.810000000001</v>
      </c>
    </row>
    <row r="27" spans="1:6" ht="21.2" customHeight="1" thickBot="1">
      <c r="A27" s="693"/>
      <c r="B27" s="694"/>
      <c r="C27" s="700" t="s">
        <v>573</v>
      </c>
      <c r="D27" s="701" t="s">
        <v>638</v>
      </c>
      <c r="E27" s="702">
        <v>14584.46</v>
      </c>
      <c r="F27" s="702">
        <v>14584.46</v>
      </c>
    </row>
    <row r="28" spans="1:6" ht="21.2" customHeight="1" thickBot="1">
      <c r="A28" s="693"/>
      <c r="B28" s="694"/>
      <c r="C28" s="700" t="s">
        <v>574</v>
      </c>
      <c r="D28" s="701" t="s">
        <v>639</v>
      </c>
      <c r="E28" s="702">
        <v>9748.16</v>
      </c>
      <c r="F28" s="702">
        <v>9748.16</v>
      </c>
    </row>
    <row r="29" spans="1:6" ht="21.2" customHeight="1" thickBot="1">
      <c r="A29" s="693"/>
      <c r="B29" s="694"/>
      <c r="C29" s="700" t="s">
        <v>548</v>
      </c>
      <c r="D29" s="701" t="s">
        <v>640</v>
      </c>
      <c r="E29" s="702">
        <v>11410.64</v>
      </c>
      <c r="F29" s="702">
        <v>11410.64</v>
      </c>
    </row>
    <row r="30" spans="1:6" ht="21.2" customHeight="1" thickBot="1">
      <c r="A30" s="693"/>
      <c r="B30" s="694"/>
      <c r="C30" s="703" t="s">
        <v>556</v>
      </c>
      <c r="D30" s="704" t="s">
        <v>641</v>
      </c>
      <c r="E30" s="705">
        <v>11599.56</v>
      </c>
      <c r="F30" s="705">
        <v>11599.56</v>
      </c>
    </row>
    <row r="31" spans="1:6" ht="21.2" customHeight="1" thickBot="1">
      <c r="A31" s="693"/>
      <c r="B31" s="694"/>
      <c r="C31" s="700" t="s">
        <v>557</v>
      </c>
      <c r="D31" s="701" t="s">
        <v>642</v>
      </c>
      <c r="E31" s="702">
        <v>11259.51</v>
      </c>
      <c r="F31" s="702">
        <v>11259.51</v>
      </c>
    </row>
    <row r="32" spans="1:6" ht="21.2" customHeight="1" thickBot="1">
      <c r="A32" s="693"/>
      <c r="B32" s="694"/>
      <c r="C32" s="706" t="s">
        <v>575</v>
      </c>
      <c r="D32" s="701" t="s">
        <v>643</v>
      </c>
      <c r="E32" s="702">
        <v>11486.21</v>
      </c>
      <c r="F32" s="702">
        <v>11486.21</v>
      </c>
    </row>
    <row r="33" spans="1:6" ht="21.2" customHeight="1" thickBot="1">
      <c r="A33" s="693"/>
      <c r="B33" s="694"/>
      <c r="C33" s="700" t="s">
        <v>576</v>
      </c>
      <c r="D33" s="701" t="s">
        <v>644</v>
      </c>
      <c r="E33" s="702">
        <v>15113.43</v>
      </c>
      <c r="F33" s="702">
        <v>15113.43</v>
      </c>
    </row>
    <row r="34" spans="1:6" ht="21.2" customHeight="1" thickBot="1">
      <c r="A34" s="693"/>
      <c r="B34" s="694"/>
      <c r="C34" s="700" t="s">
        <v>577</v>
      </c>
      <c r="D34" s="701" t="s">
        <v>645</v>
      </c>
      <c r="E34" s="702">
        <v>20365.349999999999</v>
      </c>
      <c r="F34" s="702">
        <v>20365.349999999999</v>
      </c>
    </row>
    <row r="35" spans="1:6" ht="21.2" customHeight="1" thickBot="1">
      <c r="A35" s="693"/>
      <c r="B35" s="694"/>
      <c r="C35" s="700" t="s">
        <v>578</v>
      </c>
      <c r="D35" s="701" t="s">
        <v>646</v>
      </c>
      <c r="E35" s="702">
        <v>19496.330000000002</v>
      </c>
      <c r="F35" s="702">
        <v>19496.330000000002</v>
      </c>
    </row>
    <row r="36" spans="1:6" ht="21.2" customHeight="1">
      <c r="A36" s="693"/>
      <c r="B36" s="694"/>
      <c r="C36" s="700" t="s">
        <v>579</v>
      </c>
      <c r="D36" s="701" t="s">
        <v>647</v>
      </c>
      <c r="E36" s="702">
        <v>18022.77</v>
      </c>
      <c r="F36" s="702">
        <v>18022.77</v>
      </c>
    </row>
    <row r="37" spans="1:6" ht="21.2" customHeight="1">
      <c r="A37" s="693"/>
      <c r="B37" s="694"/>
      <c r="C37" s="707"/>
      <c r="D37" s="707" t="s">
        <v>544</v>
      </c>
      <c r="E37" s="708">
        <f>SUM(E10:E36)</f>
        <v>463906.80000000005</v>
      </c>
      <c r="F37" s="708">
        <f>SUM(F10:F36)</f>
        <v>463906.80000000005</v>
      </c>
    </row>
    <row r="38" spans="1:6">
      <c r="A38" s="693"/>
      <c r="B38" s="694"/>
      <c r="C38" s="693"/>
      <c r="D38" s="693"/>
      <c r="E38" s="693"/>
      <c r="F38" s="693"/>
    </row>
    <row r="39" spans="1:6">
      <c r="A39" s="693"/>
      <c r="B39" s="694"/>
      <c r="C39" s="693"/>
      <c r="D39" s="693"/>
      <c r="E39" s="693"/>
      <c r="F39" s="693"/>
    </row>
    <row r="40" spans="1:6">
      <c r="A40" s="693"/>
      <c r="B40" s="694"/>
      <c r="C40" s="693"/>
      <c r="D40" s="693"/>
      <c r="E40" s="693"/>
      <c r="F40" s="693"/>
    </row>
    <row r="41" spans="1:6">
      <c r="A41" s="693"/>
      <c r="B41" s="694"/>
      <c r="C41" s="693"/>
      <c r="D41" s="693"/>
      <c r="E41" s="693"/>
      <c r="F41" s="693"/>
    </row>
    <row r="42" spans="1:6">
      <c r="A42" s="693"/>
      <c r="B42" s="694"/>
      <c r="C42" s="693"/>
      <c r="D42" s="693"/>
      <c r="E42" s="693"/>
      <c r="F42" s="693"/>
    </row>
    <row r="43" spans="1:6">
      <c r="A43" s="693"/>
      <c r="B43" s="694"/>
      <c r="C43" s="693"/>
      <c r="D43" s="693"/>
      <c r="E43" s="693"/>
      <c r="F43" s="693"/>
    </row>
  </sheetData>
  <mergeCells count="2">
    <mergeCell ref="A5:F7"/>
    <mergeCell ref="C3:F4"/>
  </mergeCells>
  <pageMargins left="0.7" right="0.7" top="0.75" bottom="0.75" header="0.3" footer="0.3"/>
  <pageSetup paperSize="9" scale="91" orientation="portrait" r:id="rId1"/>
  <headerFooter>
    <oddHeader xml:space="preserve">&amp;C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19"/>
  <sheetViews>
    <sheetView topLeftCell="A10" workbookViewId="0">
      <selection activeCell="N26" sqref="J26:N26"/>
    </sheetView>
  </sheetViews>
  <sheetFormatPr defaultRowHeight="12.75"/>
  <cols>
    <col min="1" max="1" width="45.140625" customWidth="1"/>
    <col min="2" max="2" width="14.7109375" customWidth="1"/>
  </cols>
  <sheetData>
    <row r="1" spans="1:7" ht="18" customHeight="1" thickBot="1">
      <c r="A1" s="175" t="s">
        <v>336</v>
      </c>
      <c r="B1" s="176">
        <f>B2+B6</f>
        <v>29362320.600000001</v>
      </c>
    </row>
    <row r="2" spans="1:7" ht="18" customHeight="1" thickBot="1">
      <c r="A2" s="177" t="s">
        <v>90</v>
      </c>
      <c r="B2" s="178">
        <v>8475490</v>
      </c>
    </row>
    <row r="3" spans="1:7" ht="18" customHeight="1" thickBot="1">
      <c r="A3" s="177" t="s">
        <v>339</v>
      </c>
      <c r="B3" s="179"/>
    </row>
    <row r="4" spans="1:7" ht="18" customHeight="1" thickBot="1">
      <c r="A4" s="177" t="s">
        <v>340</v>
      </c>
      <c r="B4" s="179">
        <v>75000</v>
      </c>
    </row>
    <row r="5" spans="1:7" ht="18" customHeight="1" thickBot="1">
      <c r="A5" s="177" t="s">
        <v>341</v>
      </c>
      <c r="B5" s="179">
        <v>20000</v>
      </c>
    </row>
    <row r="6" spans="1:7" ht="18" customHeight="1" thickBot="1">
      <c r="A6" s="177" t="s">
        <v>342</v>
      </c>
      <c r="B6" s="178">
        <v>20886830.600000001</v>
      </c>
    </row>
    <row r="7" spans="1:7" ht="18" customHeight="1" thickBot="1">
      <c r="A7" s="177" t="s">
        <v>339</v>
      </c>
      <c r="B7" s="179"/>
    </row>
    <row r="8" spans="1:7" ht="18" customHeight="1" thickBot="1">
      <c r="A8" s="177" t="s">
        <v>344</v>
      </c>
      <c r="B8" s="180">
        <v>7165916</v>
      </c>
    </row>
    <row r="9" spans="1:7" ht="18" customHeight="1" thickBot="1">
      <c r="A9" s="177" t="s">
        <v>345</v>
      </c>
      <c r="B9" s="180">
        <v>388792</v>
      </c>
    </row>
    <row r="10" spans="1:7" ht="18" customHeight="1" thickBot="1">
      <c r="A10" s="177" t="s">
        <v>346</v>
      </c>
      <c r="B10" s="180">
        <v>1354068</v>
      </c>
      <c r="D10" s="170"/>
      <c r="E10" s="173"/>
      <c r="G10" s="171"/>
    </row>
    <row r="11" spans="1:7" ht="18" customHeight="1" thickBot="1">
      <c r="A11" s="177" t="s">
        <v>340</v>
      </c>
      <c r="B11" s="179">
        <v>599089</v>
      </c>
      <c r="D11" s="170">
        <f>B11+B12+B13+B14</f>
        <v>1268889</v>
      </c>
      <c r="E11" s="170"/>
      <c r="G11" s="171"/>
    </row>
    <row r="12" spans="1:7" ht="18" customHeight="1" thickBot="1">
      <c r="A12" s="177" t="s">
        <v>347</v>
      </c>
      <c r="B12" s="179">
        <v>75000</v>
      </c>
      <c r="G12" s="172"/>
    </row>
    <row r="13" spans="1:7" ht="18" customHeight="1" thickBot="1">
      <c r="A13" s="177" t="s">
        <v>348</v>
      </c>
      <c r="B13" s="180">
        <v>590000</v>
      </c>
      <c r="D13" s="170"/>
    </row>
    <row r="14" spans="1:7" ht="18" customHeight="1" thickBot="1">
      <c r="A14" s="177" t="s">
        <v>349</v>
      </c>
      <c r="B14" s="179">
        <v>4800</v>
      </c>
    </row>
    <row r="15" spans="1:7" ht="18" customHeight="1" thickBot="1">
      <c r="A15" s="177" t="s">
        <v>350</v>
      </c>
      <c r="B15" s="179">
        <v>130000</v>
      </c>
    </row>
    <row r="16" spans="1:7" ht="18" customHeight="1" thickBot="1">
      <c r="A16" s="177" t="s">
        <v>351</v>
      </c>
      <c r="B16" s="179">
        <f>B6-B8-B10-B11-B12-B13-B14-B15</f>
        <v>10967957.600000001</v>
      </c>
    </row>
    <row r="18" spans="2:2" ht="15">
      <c r="B18" s="174"/>
    </row>
    <row r="19" spans="2:2">
      <c r="B19" s="17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35"/>
  <sheetViews>
    <sheetView workbookViewId="0">
      <selection activeCell="N26" sqref="J26:N26"/>
    </sheetView>
  </sheetViews>
  <sheetFormatPr defaultColWidth="9.140625" defaultRowHeight="12.75"/>
  <cols>
    <col min="1" max="1" width="9.140625" style="5"/>
    <col min="2" max="2" width="32.85546875" style="5" customWidth="1"/>
    <col min="3" max="3" width="11.42578125" style="5" customWidth="1"/>
    <col min="4" max="4" width="10" style="5" customWidth="1"/>
    <col min="5" max="5" width="9.7109375" style="5" customWidth="1"/>
    <col min="6" max="6" width="9.5703125" style="5" customWidth="1"/>
    <col min="7" max="7" width="6.5703125" style="5" customWidth="1"/>
    <col min="8" max="16384" width="9.140625" style="5"/>
  </cols>
  <sheetData>
    <row r="1" spans="1:7">
      <c r="A1" s="148" t="s">
        <v>456</v>
      </c>
      <c r="B1" s="148"/>
      <c r="C1" s="148"/>
      <c r="D1" s="148"/>
      <c r="E1" s="148"/>
      <c r="F1" s="148"/>
    </row>
    <row r="2" spans="1:7">
      <c r="G2" s="169" t="s">
        <v>335</v>
      </c>
    </row>
    <row r="3" spans="1:7" ht="12.75" customHeight="1">
      <c r="A3" s="731" t="s">
        <v>69</v>
      </c>
      <c r="B3" s="731" t="s">
        <v>70</v>
      </c>
      <c r="C3" s="727" t="s">
        <v>454</v>
      </c>
      <c r="D3" s="164" t="s">
        <v>85</v>
      </c>
      <c r="E3" s="165"/>
      <c r="F3" s="166"/>
      <c r="G3" s="729" t="s">
        <v>457</v>
      </c>
    </row>
    <row r="4" spans="1:7" ht="33.75">
      <c r="A4" s="732"/>
      <c r="B4" s="732"/>
      <c r="C4" s="728"/>
      <c r="D4" s="167" t="s">
        <v>455</v>
      </c>
      <c r="E4" s="168" t="s">
        <v>71</v>
      </c>
      <c r="F4" s="168" t="s">
        <v>72</v>
      </c>
      <c r="G4" s="730"/>
    </row>
    <row r="5" spans="1:7">
      <c r="A5" s="149" t="s">
        <v>4</v>
      </c>
      <c r="B5" s="149" t="s">
        <v>5</v>
      </c>
      <c r="C5" s="149" t="s">
        <v>6</v>
      </c>
      <c r="D5" s="1" t="s">
        <v>7</v>
      </c>
      <c r="E5" s="1" t="s">
        <v>8</v>
      </c>
      <c r="F5" s="1" t="s">
        <v>64</v>
      </c>
      <c r="G5" s="181" t="s">
        <v>65</v>
      </c>
    </row>
    <row r="6" spans="1:7" ht="16.5" customHeight="1">
      <c r="A6" s="150" t="s">
        <v>9</v>
      </c>
      <c r="B6" s="151" t="s">
        <v>73</v>
      </c>
      <c r="C6" s="152">
        <v>407557.3</v>
      </c>
      <c r="D6" s="153">
        <v>252065.97</v>
      </c>
      <c r="E6" s="152">
        <f>D6-F6</f>
        <v>54667.670000000013</v>
      </c>
      <c r="F6" s="152">
        <v>197398.3</v>
      </c>
      <c r="G6" s="183">
        <f>D6/C6</f>
        <v>0.61847983093420245</v>
      </c>
    </row>
    <row r="7" spans="1:7" ht="25.5">
      <c r="A7" s="150">
        <v>400</v>
      </c>
      <c r="B7" s="151" t="s">
        <v>74</v>
      </c>
      <c r="C7" s="152">
        <v>82390</v>
      </c>
      <c r="D7" s="152">
        <v>41196</v>
      </c>
      <c r="E7" s="152">
        <f t="shared" ref="E7:E23" si="0">D7-F7</f>
        <v>41196</v>
      </c>
      <c r="F7" s="152"/>
      <c r="G7" s="183">
        <f t="shared" ref="G7:G22" si="1">D7/C7</f>
        <v>0.50001213739531492</v>
      </c>
    </row>
    <row r="8" spans="1:7">
      <c r="A8" s="150">
        <v>600</v>
      </c>
      <c r="B8" s="154" t="s">
        <v>75</v>
      </c>
      <c r="C8" s="152">
        <v>1886250</v>
      </c>
      <c r="D8" s="152">
        <v>117287.06</v>
      </c>
      <c r="E8" s="152">
        <f t="shared" si="0"/>
        <v>117287.06</v>
      </c>
      <c r="F8" s="152"/>
      <c r="G8" s="183">
        <f t="shared" si="1"/>
        <v>6.2180018555334657E-2</v>
      </c>
    </row>
    <row r="9" spans="1:7">
      <c r="A9" s="150">
        <v>630</v>
      </c>
      <c r="B9" s="154" t="s">
        <v>333</v>
      </c>
      <c r="C9" s="152">
        <v>163000</v>
      </c>
      <c r="D9" s="152">
        <v>41796.29</v>
      </c>
      <c r="E9" s="152">
        <f t="shared" si="0"/>
        <v>41796.29</v>
      </c>
      <c r="F9" s="152"/>
      <c r="G9" s="183">
        <f t="shared" si="1"/>
        <v>0.25641895705521472</v>
      </c>
    </row>
    <row r="10" spans="1:7">
      <c r="A10" s="150">
        <v>700</v>
      </c>
      <c r="B10" s="154" t="s">
        <v>22</v>
      </c>
      <c r="C10" s="152">
        <v>133500</v>
      </c>
      <c r="D10" s="152">
        <v>2439.13</v>
      </c>
      <c r="E10" s="152">
        <f t="shared" si="0"/>
        <v>2439.13</v>
      </c>
      <c r="F10" s="152"/>
      <c r="G10" s="183">
        <f t="shared" si="1"/>
        <v>1.8270636704119853E-2</v>
      </c>
    </row>
    <row r="11" spans="1:7">
      <c r="A11" s="150">
        <v>750</v>
      </c>
      <c r="B11" s="154" t="s">
        <v>27</v>
      </c>
      <c r="C11" s="152">
        <v>2650332</v>
      </c>
      <c r="D11" s="152">
        <v>1235746.67</v>
      </c>
      <c r="E11" s="152">
        <f t="shared" si="0"/>
        <v>1207546.67</v>
      </c>
      <c r="F11" s="152">
        <v>28200</v>
      </c>
      <c r="G11" s="183">
        <f t="shared" si="1"/>
        <v>0.4662610835170839</v>
      </c>
    </row>
    <row r="12" spans="1:7" ht="51">
      <c r="A12" s="150">
        <v>751</v>
      </c>
      <c r="B12" s="155" t="s">
        <v>76</v>
      </c>
      <c r="C12" s="152">
        <v>27285</v>
      </c>
      <c r="D12" s="152">
        <v>11483.83</v>
      </c>
      <c r="E12" s="152">
        <f t="shared" si="0"/>
        <v>-0.17000000000007276</v>
      </c>
      <c r="F12" s="152">
        <v>11484</v>
      </c>
      <c r="G12" s="183">
        <f t="shared" si="1"/>
        <v>0.4208843687007513</v>
      </c>
    </row>
    <row r="13" spans="1:7" ht="25.5">
      <c r="A13" s="150">
        <v>754</v>
      </c>
      <c r="B13" s="157" t="s">
        <v>147</v>
      </c>
      <c r="C13" s="152">
        <v>466847</v>
      </c>
      <c r="D13" s="152">
        <v>251508.6</v>
      </c>
      <c r="E13" s="152">
        <f t="shared" si="0"/>
        <v>251039.6</v>
      </c>
      <c r="F13" s="156">
        <v>469</v>
      </c>
      <c r="G13" s="183">
        <f t="shared" si="1"/>
        <v>0.53873881592898742</v>
      </c>
    </row>
    <row r="14" spans="1:7" ht="63.75">
      <c r="A14" s="150">
        <v>756</v>
      </c>
      <c r="B14" s="155" t="s">
        <v>77</v>
      </c>
      <c r="C14" s="152">
        <v>67100</v>
      </c>
      <c r="D14" s="152">
        <v>25824.11</v>
      </c>
      <c r="E14" s="152">
        <f t="shared" si="0"/>
        <v>25824.11</v>
      </c>
      <c r="F14" s="152"/>
      <c r="G14" s="183">
        <f t="shared" si="1"/>
        <v>0.38486005961251862</v>
      </c>
    </row>
    <row r="15" spans="1:7">
      <c r="A15" s="150">
        <v>757</v>
      </c>
      <c r="B15" s="154" t="s">
        <v>39</v>
      </c>
      <c r="C15" s="152">
        <v>360000</v>
      </c>
      <c r="D15" s="152">
        <v>106765.49</v>
      </c>
      <c r="E15" s="152">
        <f t="shared" si="0"/>
        <v>106765.49</v>
      </c>
      <c r="F15" s="152"/>
      <c r="G15" s="183">
        <f t="shared" si="1"/>
        <v>0.29657080555555559</v>
      </c>
    </row>
    <row r="16" spans="1:7" ht="12.75" customHeight="1">
      <c r="A16" s="150">
        <v>758</v>
      </c>
      <c r="B16" s="154" t="s">
        <v>40</v>
      </c>
      <c r="C16" s="152">
        <v>17770</v>
      </c>
      <c r="D16" s="152"/>
      <c r="E16" s="152"/>
      <c r="F16" s="152"/>
      <c r="G16" s="183">
        <f t="shared" si="1"/>
        <v>0</v>
      </c>
    </row>
    <row r="17" spans="1:7">
      <c r="A17" s="150">
        <v>801</v>
      </c>
      <c r="B17" s="154" t="s">
        <v>43</v>
      </c>
      <c r="C17" s="152">
        <v>8306091</v>
      </c>
      <c r="D17" s="152">
        <v>4312190.75</v>
      </c>
      <c r="E17" s="152">
        <f t="shared" si="0"/>
        <v>4312190.75</v>
      </c>
      <c r="F17" s="152"/>
      <c r="G17" s="183">
        <f t="shared" si="1"/>
        <v>0.51916006578786578</v>
      </c>
    </row>
    <row r="18" spans="1:7">
      <c r="A18" s="150">
        <v>851</v>
      </c>
      <c r="B18" s="154" t="s">
        <v>48</v>
      </c>
      <c r="C18" s="152">
        <v>1185369.8500000001</v>
      </c>
      <c r="D18" s="152">
        <v>653201.79</v>
      </c>
      <c r="E18" s="152">
        <f t="shared" si="0"/>
        <v>653201.79</v>
      </c>
      <c r="F18" s="152"/>
      <c r="G18" s="183">
        <f t="shared" si="1"/>
        <v>0.55105315020455425</v>
      </c>
    </row>
    <row r="19" spans="1:7">
      <c r="A19" s="150">
        <v>852</v>
      </c>
      <c r="B19" s="154" t="s">
        <v>78</v>
      </c>
      <c r="C19" s="152">
        <v>6217673.1299999999</v>
      </c>
      <c r="D19" s="152">
        <v>2686343.64</v>
      </c>
      <c r="E19" s="152">
        <f t="shared" si="0"/>
        <v>1416865.2000000002</v>
      </c>
      <c r="F19" s="152">
        <v>1269478.44</v>
      </c>
      <c r="G19" s="183">
        <f t="shared" si="1"/>
        <v>0.43204967257582422</v>
      </c>
    </row>
    <row r="20" spans="1:7">
      <c r="A20" s="150">
        <v>854</v>
      </c>
      <c r="B20" s="155" t="s">
        <v>79</v>
      </c>
      <c r="C20" s="152">
        <v>314005</v>
      </c>
      <c r="D20" s="152">
        <v>204528.69</v>
      </c>
      <c r="E20" s="152">
        <f t="shared" si="0"/>
        <v>204528.69</v>
      </c>
      <c r="F20" s="152"/>
      <c r="G20" s="183">
        <f t="shared" si="1"/>
        <v>0.65135488288403054</v>
      </c>
    </row>
    <row r="21" spans="1:7" ht="25.5">
      <c r="A21" s="150">
        <v>900</v>
      </c>
      <c r="B21" s="155" t="s">
        <v>80</v>
      </c>
      <c r="C21" s="152">
        <v>2206842</v>
      </c>
      <c r="D21" s="152">
        <v>903696.82</v>
      </c>
      <c r="E21" s="152">
        <f t="shared" si="0"/>
        <v>903696.82</v>
      </c>
      <c r="F21" s="152"/>
      <c r="G21" s="183">
        <f>D21/C21</f>
        <v>0.40949774383485538</v>
      </c>
    </row>
    <row r="22" spans="1:7" ht="25.5">
      <c r="A22" s="150">
        <v>921</v>
      </c>
      <c r="B22" s="155" t="s">
        <v>81</v>
      </c>
      <c r="C22" s="152">
        <v>1979029.97</v>
      </c>
      <c r="D22" s="152">
        <v>747238.17</v>
      </c>
      <c r="E22" s="152">
        <f t="shared" si="0"/>
        <v>747238.17</v>
      </c>
      <c r="F22" s="152"/>
      <c r="G22" s="183">
        <f t="shared" si="1"/>
        <v>0.37757799595121849</v>
      </c>
    </row>
    <row r="23" spans="1:7">
      <c r="A23" s="150">
        <v>926</v>
      </c>
      <c r="B23" s="154" t="s">
        <v>82</v>
      </c>
      <c r="C23" s="2">
        <v>914956.18</v>
      </c>
      <c r="D23" s="2">
        <v>45963.21</v>
      </c>
      <c r="E23" s="152">
        <f t="shared" si="0"/>
        <v>45963.21</v>
      </c>
      <c r="F23" s="2"/>
      <c r="G23" s="183">
        <f>D23/C23</f>
        <v>5.023542220349831E-2</v>
      </c>
    </row>
    <row r="24" spans="1:7" ht="19.5" customHeight="1">
      <c r="A24" s="158" t="s">
        <v>83</v>
      </c>
      <c r="B24" s="159"/>
      <c r="C24" s="160">
        <f>SUM(C6:C23)</f>
        <v>27385998.43</v>
      </c>
      <c r="D24" s="160">
        <f>SUM(D6:D23)</f>
        <v>11639276.220000001</v>
      </c>
      <c r="E24" s="160">
        <f>SUM(E6:E23)</f>
        <v>10132246.48</v>
      </c>
      <c r="F24" s="160">
        <f>SUM(F6:F23)</f>
        <v>1507029.74</v>
      </c>
      <c r="G24" s="184">
        <f>D24/C24</f>
        <v>0.42500828479014852</v>
      </c>
    </row>
    <row r="25" spans="1:7" ht="18.75" customHeight="1">
      <c r="A25" s="161" t="s">
        <v>84</v>
      </c>
      <c r="B25" s="145"/>
      <c r="C25" s="162">
        <v>6635561</v>
      </c>
      <c r="D25" s="160">
        <v>1922767.78</v>
      </c>
      <c r="E25" s="163"/>
      <c r="F25" s="163"/>
      <c r="G25" s="184">
        <f>D25/C25</f>
        <v>0.28976717718366241</v>
      </c>
    </row>
    <row r="30" spans="1:7">
      <c r="D30" s="6"/>
    </row>
    <row r="32" spans="1:7">
      <c r="F32" s="80"/>
    </row>
    <row r="35" spans="6:6">
      <c r="F35" s="80"/>
    </row>
  </sheetData>
  <mergeCells count="4">
    <mergeCell ref="C3:C4"/>
    <mergeCell ref="G3:G4"/>
    <mergeCell ref="B3:B4"/>
    <mergeCell ref="A3:A4"/>
  </mergeCells>
  <phoneticPr fontId="3" type="noConversion"/>
  <pageMargins left="0.35433070866141736" right="0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P1084"/>
  <sheetViews>
    <sheetView topLeftCell="A366" workbookViewId="0">
      <selection activeCell="E533" sqref="E533"/>
    </sheetView>
  </sheetViews>
  <sheetFormatPr defaultColWidth="9.140625" defaultRowHeight="11.25"/>
  <cols>
    <col min="1" max="1" width="4.85546875" style="189" customWidth="1"/>
    <col min="2" max="2" width="6.140625" style="189" customWidth="1"/>
    <col min="3" max="3" width="5.140625" style="189" customWidth="1"/>
    <col min="4" max="4" width="35.5703125" style="189" customWidth="1"/>
    <col min="5" max="5" width="11.140625" style="192" customWidth="1"/>
    <col min="6" max="6" width="10.85546875" style="192" customWidth="1"/>
    <col min="7" max="7" width="10.7109375" style="192" customWidth="1"/>
    <col min="8" max="8" width="10.28515625" style="192" hidden="1" customWidth="1"/>
    <col min="9" max="9" width="7.5703125" style="191" customWidth="1"/>
    <col min="10" max="10" width="1" style="189" hidden="1" customWidth="1"/>
    <col min="11" max="11" width="1.42578125" style="189" hidden="1" customWidth="1"/>
    <col min="12" max="12" width="15.5703125" style="189" hidden="1" customWidth="1"/>
    <col min="13" max="13" width="18.42578125" style="192" hidden="1" customWidth="1"/>
    <col min="14" max="14" width="15.28515625" style="192" hidden="1" customWidth="1"/>
    <col min="15" max="15" width="13.140625" style="189" hidden="1" customWidth="1"/>
    <col min="16" max="16" width="10.42578125" style="189" hidden="1" customWidth="1"/>
    <col min="17" max="32" width="0" style="189" hidden="1" customWidth="1"/>
    <col min="33" max="16384" width="9.140625" style="189"/>
  </cols>
  <sheetData>
    <row r="1" spans="1:14" hidden="1"/>
    <row r="2" spans="1:14" hidden="1"/>
    <row r="3" spans="1:14" hidden="1"/>
    <row r="4" spans="1:14">
      <c r="E4" s="207"/>
    </row>
    <row r="5" spans="1:14">
      <c r="A5" s="733" t="s">
        <v>532</v>
      </c>
      <c r="B5" s="733"/>
      <c r="C5" s="733"/>
      <c r="D5" s="733"/>
      <c r="E5" s="733"/>
      <c r="F5" s="733"/>
      <c r="G5" s="733"/>
      <c r="H5" s="733"/>
      <c r="I5" s="733"/>
      <c r="J5" s="733"/>
      <c r="K5" s="733"/>
    </row>
    <row r="6" spans="1:14" ht="22.5" customHeight="1">
      <c r="A6" s="733"/>
      <c r="B6" s="733"/>
      <c r="C6" s="733"/>
      <c r="D6" s="733"/>
      <c r="E6" s="733"/>
      <c r="F6" s="733"/>
      <c r="G6" s="733"/>
      <c r="H6" s="733"/>
      <c r="I6" s="733"/>
      <c r="J6" s="733"/>
      <c r="K6" s="733"/>
    </row>
    <row r="7" spans="1:14" ht="7.5" customHeight="1"/>
    <row r="8" spans="1:14" ht="17.25" customHeight="1">
      <c r="A8" s="194" t="s">
        <v>63</v>
      </c>
      <c r="B8" s="195"/>
      <c r="C8" s="195"/>
      <c r="D8" s="735" t="s">
        <v>0</v>
      </c>
      <c r="E8" s="734" t="s">
        <v>458</v>
      </c>
      <c r="F8" s="737" t="s">
        <v>459</v>
      </c>
      <c r="G8" s="734" t="s">
        <v>460</v>
      </c>
      <c r="H8" s="363"/>
      <c r="I8" s="738" t="s">
        <v>464</v>
      </c>
    </row>
    <row r="9" spans="1:14" ht="26.25" customHeight="1">
      <c r="A9" s="196" t="s">
        <v>1</v>
      </c>
      <c r="B9" s="197" t="s">
        <v>2</v>
      </c>
      <c r="C9" s="197" t="s">
        <v>3</v>
      </c>
      <c r="D9" s="735"/>
      <c r="E9" s="734"/>
      <c r="F9" s="737"/>
      <c r="G9" s="734"/>
      <c r="H9" s="363"/>
      <c r="I9" s="738"/>
    </row>
    <row r="10" spans="1:14" ht="15">
      <c r="A10" s="197" t="s">
        <v>4</v>
      </c>
      <c r="B10" s="197" t="s">
        <v>5</v>
      </c>
      <c r="C10" s="197" t="s">
        <v>6</v>
      </c>
      <c r="D10" s="197" t="s">
        <v>7</v>
      </c>
      <c r="E10" s="364" t="s">
        <v>8</v>
      </c>
      <c r="F10" s="365" t="s">
        <v>64</v>
      </c>
      <c r="G10" s="365" t="s">
        <v>65</v>
      </c>
      <c r="H10" s="365"/>
      <c r="I10" s="198" t="s">
        <v>66</v>
      </c>
      <c r="M10" s="341"/>
    </row>
    <row r="11" spans="1:14" ht="15">
      <c r="A11" s="199" t="s">
        <v>9</v>
      </c>
      <c r="B11" s="200"/>
      <c r="C11" s="200"/>
      <c r="D11" s="201" t="s">
        <v>158</v>
      </c>
      <c r="E11" s="312">
        <f>E12+E17+E19+E21</f>
        <v>412057.3</v>
      </c>
      <c r="F11" s="312">
        <f>F12+F17+F19+F21</f>
        <v>332389.43</v>
      </c>
      <c r="G11" s="312">
        <f>G12+G17+G19+G21</f>
        <v>29434</v>
      </c>
      <c r="H11" s="312"/>
      <c r="I11" s="202">
        <f t="shared" ref="I11:I16" si="0">G11/F11</f>
        <v>8.8552755723910956E-2</v>
      </c>
      <c r="L11" s="190">
        <f>F11-F15</f>
        <v>285895.3</v>
      </c>
      <c r="M11" s="341">
        <f>G15+G423+G540</f>
        <v>2361700</v>
      </c>
    </row>
    <row r="12" spans="1:14" s="193" customFormat="1" ht="18" customHeight="1">
      <c r="A12" s="203"/>
      <c r="B12" s="204" t="s">
        <v>10</v>
      </c>
      <c r="C12" s="204"/>
      <c r="D12" s="205" t="s">
        <v>159</v>
      </c>
      <c r="E12" s="313">
        <f>SUM(E13:E16)</f>
        <v>195000</v>
      </c>
      <c r="F12" s="313">
        <f>SUM(F13:F16)</f>
        <v>115332.13</v>
      </c>
      <c r="G12" s="313">
        <f>SUM(G13:G16)</f>
        <v>8000</v>
      </c>
      <c r="H12" s="313"/>
      <c r="I12" s="235">
        <f t="shared" si="0"/>
        <v>6.936488557004887E-2</v>
      </c>
      <c r="M12" s="342">
        <f>M11-G541</f>
        <v>-18791333</v>
      </c>
      <c r="N12" s="207"/>
    </row>
    <row r="13" spans="1:14" s="212" customFormat="1">
      <c r="A13" s="208"/>
      <c r="B13" s="195"/>
      <c r="C13" s="209">
        <v>4270</v>
      </c>
      <c r="D13" s="210" t="s">
        <v>21</v>
      </c>
      <c r="E13" s="311">
        <v>4500</v>
      </c>
      <c r="F13" s="311">
        <f>E13</f>
        <v>4500</v>
      </c>
      <c r="G13" s="311">
        <v>2000</v>
      </c>
      <c r="H13" s="311"/>
      <c r="I13" s="211">
        <f t="shared" si="0"/>
        <v>0.44444444444444442</v>
      </c>
      <c r="L13" s="213">
        <f>E14+E13</f>
        <v>16500</v>
      </c>
      <c r="M13" s="403">
        <f>G12/L13</f>
        <v>0.48484848484848486</v>
      </c>
      <c r="N13" s="213"/>
    </row>
    <row r="14" spans="1:14" s="212" customFormat="1">
      <c r="A14" s="208"/>
      <c r="B14" s="195"/>
      <c r="C14" s="214">
        <v>4300</v>
      </c>
      <c r="D14" s="195" t="s">
        <v>13</v>
      </c>
      <c r="E14" s="311">
        <v>12000</v>
      </c>
      <c r="F14" s="311">
        <f>E14</f>
        <v>12000</v>
      </c>
      <c r="G14" s="311">
        <v>6000</v>
      </c>
      <c r="H14" s="311"/>
      <c r="I14" s="211">
        <f t="shared" si="0"/>
        <v>0.5</v>
      </c>
      <c r="M14" s="213"/>
      <c r="N14" s="213"/>
    </row>
    <row r="15" spans="1:14" s="212" customFormat="1" ht="18" customHeight="1">
      <c r="A15" s="208"/>
      <c r="B15" s="195"/>
      <c r="C15" s="214">
        <v>6050</v>
      </c>
      <c r="D15" s="210" t="s">
        <v>160</v>
      </c>
      <c r="E15" s="311">
        <v>108500</v>
      </c>
      <c r="F15" s="311">
        <v>46494.13</v>
      </c>
      <c r="G15" s="311">
        <v>0</v>
      </c>
      <c r="H15" s="311"/>
      <c r="I15" s="211">
        <f t="shared" si="0"/>
        <v>0</v>
      </c>
      <c r="M15" s="213"/>
      <c r="N15" s="213"/>
    </row>
    <row r="16" spans="1:14" s="212" customFormat="1" ht="24" customHeight="1">
      <c r="A16" s="208"/>
      <c r="B16" s="195"/>
      <c r="C16" s="214">
        <v>6060</v>
      </c>
      <c r="D16" s="218" t="s">
        <v>34</v>
      </c>
      <c r="E16" s="311">
        <v>70000</v>
      </c>
      <c r="F16" s="311">
        <v>52338</v>
      </c>
      <c r="G16" s="311"/>
      <c r="H16" s="311"/>
      <c r="I16" s="211">
        <f t="shared" si="0"/>
        <v>0</v>
      </c>
      <c r="L16" s="213"/>
      <c r="M16" s="213"/>
      <c r="N16" s="213"/>
    </row>
    <row r="17" spans="1:14" ht="45.75" customHeight="1">
      <c r="A17" s="238"/>
      <c r="B17" s="216" t="s">
        <v>12</v>
      </c>
      <c r="C17" s="238"/>
      <c r="D17" s="350" t="s">
        <v>161</v>
      </c>
      <c r="E17" s="313">
        <f>E18</f>
        <v>3000</v>
      </c>
      <c r="F17" s="316">
        <f>F18</f>
        <v>3000</v>
      </c>
      <c r="G17" s="313">
        <f>G18</f>
        <v>3000</v>
      </c>
      <c r="H17" s="313"/>
      <c r="I17" s="241">
        <f t="shared" ref="I17:I79" si="1">G17/F17</f>
        <v>1</v>
      </c>
    </row>
    <row r="18" spans="1:14">
      <c r="A18" s="214"/>
      <c r="B18" s="195"/>
      <c r="C18" s="214">
        <v>4300</v>
      </c>
      <c r="D18" s="195" t="s">
        <v>13</v>
      </c>
      <c r="E18" s="311">
        <v>3000</v>
      </c>
      <c r="F18" s="311">
        <f>E18</f>
        <v>3000</v>
      </c>
      <c r="G18" s="311">
        <f>F18</f>
        <v>3000</v>
      </c>
      <c r="H18" s="311"/>
      <c r="I18" s="211">
        <f t="shared" si="1"/>
        <v>1</v>
      </c>
    </row>
    <row r="19" spans="1:14" s="193" customFormat="1">
      <c r="A19" s="216"/>
      <c r="B19" s="216" t="s">
        <v>14</v>
      </c>
      <c r="C19" s="216"/>
      <c r="D19" s="204" t="s">
        <v>15</v>
      </c>
      <c r="E19" s="313">
        <f>SUM(E20)</f>
        <v>16634</v>
      </c>
      <c r="F19" s="316">
        <f>SUM(F20)</f>
        <v>16634</v>
      </c>
      <c r="G19" s="313">
        <f>SUM(G20)</f>
        <v>18434</v>
      </c>
      <c r="H19" s="313"/>
      <c r="I19" s="241">
        <f t="shared" si="1"/>
        <v>1.1082120957075869</v>
      </c>
      <c r="M19" s="207"/>
      <c r="N19" s="207"/>
    </row>
    <row r="20" spans="1:14" ht="26.25" customHeight="1">
      <c r="A20" s="214"/>
      <c r="B20" s="195"/>
      <c r="C20" s="217" t="s">
        <v>177</v>
      </c>
      <c r="D20" s="218" t="s">
        <v>162</v>
      </c>
      <c r="E20" s="311">
        <v>16634</v>
      </c>
      <c r="F20" s="311">
        <f>E20</f>
        <v>16634</v>
      </c>
      <c r="G20" s="311">
        <v>18434</v>
      </c>
      <c r="H20" s="311"/>
      <c r="I20" s="211">
        <f t="shared" si="1"/>
        <v>1.1082120957075869</v>
      </c>
      <c r="L20" s="192">
        <f>F25+F68+F78+F97+F101+F122+F126+F133+F146+F167+F188+F191+F211+F215+F235+F247+F254+F271+F290+F293+F308+F311+F339+F390+F401+F402+F403+F428+F431+F443+F493+F500+F514+F536</f>
        <v>676849.01</v>
      </c>
    </row>
    <row r="21" spans="1:14" s="193" customFormat="1" ht="16.5" customHeight="1">
      <c r="A21" s="216"/>
      <c r="B21" s="216" t="s">
        <v>16</v>
      </c>
      <c r="C21" s="216"/>
      <c r="D21" s="219" t="s">
        <v>17</v>
      </c>
      <c r="E21" s="313">
        <f>SUM(E22:E30)</f>
        <v>197423.3</v>
      </c>
      <c r="F21" s="313">
        <f>SUM(F22:F30)</f>
        <v>197423.3</v>
      </c>
      <c r="G21" s="313">
        <f>SUM(G22:G30)</f>
        <v>0</v>
      </c>
      <c r="H21" s="313"/>
      <c r="I21" s="241">
        <f t="shared" si="1"/>
        <v>0</v>
      </c>
      <c r="M21" s="207"/>
      <c r="N21" s="207"/>
    </row>
    <row r="22" spans="1:14" s="222" customFormat="1" ht="57.75" customHeight="1">
      <c r="A22" s="220"/>
      <c r="B22" s="220"/>
      <c r="C22" s="221" t="s">
        <v>390</v>
      </c>
      <c r="D22" s="218" t="s">
        <v>391</v>
      </c>
      <c r="E22" s="311">
        <v>22.87</v>
      </c>
      <c r="F22" s="311">
        <v>22.87</v>
      </c>
      <c r="G22" s="311">
        <v>0</v>
      </c>
      <c r="H22" s="311"/>
      <c r="I22" s="211">
        <f t="shared" si="1"/>
        <v>0</v>
      </c>
      <c r="M22" s="223"/>
      <c r="N22" s="223"/>
    </row>
    <row r="23" spans="1:14" s="193" customFormat="1" ht="14.25" customHeight="1">
      <c r="A23" s="197"/>
      <c r="B23" s="197"/>
      <c r="C23" s="217" t="s">
        <v>170</v>
      </c>
      <c r="D23" s="218" t="s">
        <v>45</v>
      </c>
      <c r="E23" s="311">
        <v>205.06</v>
      </c>
      <c r="F23" s="311">
        <v>205.06</v>
      </c>
      <c r="G23" s="311">
        <v>0</v>
      </c>
      <c r="H23" s="311"/>
      <c r="I23" s="211">
        <f t="shared" si="1"/>
        <v>0</v>
      </c>
      <c r="M23" s="207"/>
      <c r="N23" s="207"/>
    </row>
    <row r="24" spans="1:14" s="193" customFormat="1" ht="12" customHeight="1">
      <c r="A24" s="197"/>
      <c r="B24" s="197"/>
      <c r="C24" s="217" t="s">
        <v>171</v>
      </c>
      <c r="D24" s="218" t="s">
        <v>163</v>
      </c>
      <c r="E24" s="311">
        <v>13.48</v>
      </c>
      <c r="F24" s="311">
        <v>13.48</v>
      </c>
      <c r="G24" s="311">
        <v>0</v>
      </c>
      <c r="H24" s="311"/>
      <c r="I24" s="211">
        <f t="shared" si="1"/>
        <v>0</v>
      </c>
      <c r="M24" s="207"/>
      <c r="N24" s="207"/>
    </row>
    <row r="25" spans="1:14" s="193" customFormat="1" ht="12.75" customHeight="1">
      <c r="A25" s="197"/>
      <c r="B25" s="197"/>
      <c r="C25" s="217" t="s">
        <v>172</v>
      </c>
      <c r="D25" s="218" t="s">
        <v>164</v>
      </c>
      <c r="E25" s="311">
        <v>1350</v>
      </c>
      <c r="F25" s="311">
        <v>1350</v>
      </c>
      <c r="G25" s="311">
        <v>0</v>
      </c>
      <c r="H25" s="311"/>
      <c r="I25" s="211">
        <f t="shared" si="1"/>
        <v>0</v>
      </c>
      <c r="M25" s="207"/>
      <c r="N25" s="207"/>
    </row>
    <row r="26" spans="1:14" s="224" customFormat="1" ht="12.75" customHeight="1">
      <c r="A26" s="197"/>
      <c r="B26" s="197"/>
      <c r="C26" s="217" t="s">
        <v>173</v>
      </c>
      <c r="D26" s="218" t="s">
        <v>11</v>
      </c>
      <c r="E26" s="311">
        <v>1101.1500000000001</v>
      </c>
      <c r="F26" s="311">
        <v>1101.1500000000001</v>
      </c>
      <c r="G26" s="311">
        <v>0</v>
      </c>
      <c r="H26" s="311"/>
      <c r="I26" s="211">
        <f t="shared" si="1"/>
        <v>0</v>
      </c>
      <c r="K26" s="225"/>
      <c r="M26" s="226"/>
      <c r="N26" s="226"/>
    </row>
    <row r="27" spans="1:14" s="224" customFormat="1" ht="13.5" customHeight="1">
      <c r="A27" s="197"/>
      <c r="B27" s="197"/>
      <c r="C27" s="217" t="s">
        <v>174</v>
      </c>
      <c r="D27" s="218" t="s">
        <v>13</v>
      </c>
      <c r="E27" s="311">
        <v>1000</v>
      </c>
      <c r="F27" s="311">
        <v>1000</v>
      </c>
      <c r="G27" s="311">
        <v>0</v>
      </c>
      <c r="H27" s="311"/>
      <c r="I27" s="211">
        <f t="shared" si="1"/>
        <v>0</v>
      </c>
      <c r="K27" s="225"/>
      <c r="M27" s="226"/>
      <c r="N27" s="226"/>
    </row>
    <row r="28" spans="1:14" s="224" customFormat="1" ht="14.25" customHeight="1">
      <c r="A28" s="197"/>
      <c r="B28" s="197"/>
      <c r="C28" s="217" t="s">
        <v>176</v>
      </c>
      <c r="D28" s="218" t="s">
        <v>26</v>
      </c>
      <c r="E28" s="311">
        <v>193528.61</v>
      </c>
      <c r="F28" s="311">
        <v>193528.61</v>
      </c>
      <c r="G28" s="311">
        <v>0</v>
      </c>
      <c r="H28" s="311"/>
      <c r="I28" s="211">
        <f t="shared" si="1"/>
        <v>0</v>
      </c>
      <c r="M28" s="226"/>
      <c r="N28" s="226"/>
    </row>
    <row r="29" spans="1:14" s="224" customFormat="1" ht="57" customHeight="1">
      <c r="A29" s="197"/>
      <c r="B29" s="197"/>
      <c r="C29" s="301" t="s">
        <v>392</v>
      </c>
      <c r="D29" s="302" t="s">
        <v>393</v>
      </c>
      <c r="E29" s="311">
        <v>2.13</v>
      </c>
      <c r="F29" s="311">
        <v>2.13</v>
      </c>
      <c r="G29" s="311">
        <v>0</v>
      </c>
      <c r="H29" s="311"/>
      <c r="I29" s="211">
        <f t="shared" si="1"/>
        <v>0</v>
      </c>
      <c r="M29" s="226"/>
      <c r="N29" s="226"/>
    </row>
    <row r="30" spans="1:14" s="224" customFormat="1" ht="28.5" customHeight="1">
      <c r="A30" s="197"/>
      <c r="B30" s="197"/>
      <c r="C30" s="217" t="s">
        <v>194</v>
      </c>
      <c r="D30" s="218" t="s">
        <v>190</v>
      </c>
      <c r="E30" s="311">
        <v>200</v>
      </c>
      <c r="F30" s="311">
        <v>200</v>
      </c>
      <c r="G30" s="319">
        <v>0</v>
      </c>
      <c r="H30" s="344"/>
      <c r="I30" s="211">
        <f t="shared" si="1"/>
        <v>0</v>
      </c>
      <c r="M30" s="226"/>
      <c r="N30" s="226"/>
    </row>
    <row r="31" spans="1:14" s="193" customFormat="1" ht="23.25" customHeight="1">
      <c r="A31" s="215">
        <v>400</v>
      </c>
      <c r="B31" s="227"/>
      <c r="C31" s="228"/>
      <c r="D31" s="201" t="s">
        <v>287</v>
      </c>
      <c r="E31" s="314">
        <f>E32</f>
        <v>82390</v>
      </c>
      <c r="F31" s="315">
        <f>F32</f>
        <v>82390</v>
      </c>
      <c r="G31" s="315">
        <f>G32</f>
        <v>134196</v>
      </c>
      <c r="H31" s="315"/>
      <c r="I31" s="282">
        <f t="shared" si="1"/>
        <v>1.6287899016870979</v>
      </c>
      <c r="M31" s="207"/>
      <c r="N31" s="207"/>
    </row>
    <row r="32" spans="1:14" s="193" customFormat="1" ht="15" customHeight="1">
      <c r="A32" s="216"/>
      <c r="B32" s="204">
        <v>40002</v>
      </c>
      <c r="C32" s="229"/>
      <c r="D32" s="205" t="s">
        <v>19</v>
      </c>
      <c r="E32" s="313">
        <f>E33</f>
        <v>82390</v>
      </c>
      <c r="F32" s="313">
        <f>SUM(F33:F34)</f>
        <v>82390</v>
      </c>
      <c r="G32" s="313">
        <f>SUM(G33:G34)</f>
        <v>134196</v>
      </c>
      <c r="H32" s="313"/>
      <c r="I32" s="241">
        <f t="shared" si="1"/>
        <v>1.6287899016870979</v>
      </c>
      <c r="M32" s="207"/>
      <c r="N32" s="207"/>
    </row>
    <row r="33" spans="1:15" ht="24.75" customHeight="1">
      <c r="A33" s="214"/>
      <c r="B33" s="195"/>
      <c r="C33" s="217" t="s">
        <v>178</v>
      </c>
      <c r="D33" s="218" t="s">
        <v>165</v>
      </c>
      <c r="E33" s="311">
        <v>82390</v>
      </c>
      <c r="F33" s="311">
        <f>E33</f>
        <v>82390</v>
      </c>
      <c r="G33" s="311">
        <v>134196</v>
      </c>
      <c r="H33" s="311"/>
      <c r="I33" s="211">
        <f t="shared" si="1"/>
        <v>1.6287899016870979</v>
      </c>
    </row>
    <row r="34" spans="1:15" ht="28.5" hidden="1" customHeight="1">
      <c r="A34" s="214"/>
      <c r="B34" s="195"/>
      <c r="C34" s="217" t="s">
        <v>276</v>
      </c>
      <c r="D34" s="218" t="s">
        <v>277</v>
      </c>
      <c r="E34" s="311"/>
      <c r="F34" s="311">
        <v>0</v>
      </c>
      <c r="G34" s="311">
        <v>0</v>
      </c>
      <c r="H34" s="311"/>
      <c r="I34" s="211" t="e">
        <f t="shared" si="1"/>
        <v>#DIV/0!</v>
      </c>
    </row>
    <row r="35" spans="1:15">
      <c r="A35" s="199">
        <v>600</v>
      </c>
      <c r="B35" s="200"/>
      <c r="C35" s="228"/>
      <c r="D35" s="201" t="s">
        <v>288</v>
      </c>
      <c r="E35" s="312">
        <f>E36+E38+E41</f>
        <v>2456178</v>
      </c>
      <c r="F35" s="312">
        <f>F36+F38+F41</f>
        <v>2168000</v>
      </c>
      <c r="G35" s="312">
        <f>G36+G38+G41</f>
        <v>97000</v>
      </c>
      <c r="H35" s="312"/>
      <c r="I35" s="282">
        <f t="shared" si="1"/>
        <v>4.4741697416974167E-2</v>
      </c>
    </row>
    <row r="36" spans="1:15">
      <c r="A36" s="216"/>
      <c r="B36" s="204">
        <v>60013</v>
      </c>
      <c r="C36" s="229"/>
      <c r="D36" s="205" t="s">
        <v>396</v>
      </c>
      <c r="E36" s="313">
        <f>E37</f>
        <v>100000</v>
      </c>
      <c r="F36" s="313">
        <f>F37</f>
        <v>100000</v>
      </c>
      <c r="G36" s="313">
        <f>G37</f>
        <v>0</v>
      </c>
      <c r="H36" s="313"/>
      <c r="I36" s="241">
        <f t="shared" si="1"/>
        <v>0</v>
      </c>
    </row>
    <row r="37" spans="1:15" ht="30.75" customHeight="1">
      <c r="A37" s="230"/>
      <c r="B37" s="270"/>
      <c r="C37" s="303" t="s">
        <v>394</v>
      </c>
      <c r="D37" s="304" t="s">
        <v>395</v>
      </c>
      <c r="E37" s="311">
        <v>100000</v>
      </c>
      <c r="F37" s="311">
        <f>E37</f>
        <v>100000</v>
      </c>
      <c r="G37" s="311">
        <v>0</v>
      </c>
      <c r="H37" s="311"/>
      <c r="I37" s="211">
        <f t="shared" si="1"/>
        <v>0</v>
      </c>
      <c r="L37" s="192">
        <f>E35-E40-E45</f>
        <v>762690</v>
      </c>
      <c r="M37" s="192">
        <f>F35-F45</f>
        <v>695000</v>
      </c>
      <c r="N37" s="191">
        <f>M37/L37</f>
        <v>0.91124834467476956</v>
      </c>
    </row>
    <row r="38" spans="1:15" s="193" customFormat="1" ht="28.5" customHeight="1">
      <c r="A38" s="216"/>
      <c r="B38" s="204">
        <v>60014</v>
      </c>
      <c r="C38" s="229"/>
      <c r="D38" s="205" t="s">
        <v>137</v>
      </c>
      <c r="E38" s="313">
        <f>SUM(E39:E40)</f>
        <v>220000</v>
      </c>
      <c r="F38" s="313">
        <f>SUM(F39:F40)</f>
        <v>200000</v>
      </c>
      <c r="G38" s="313">
        <f>SUM(G39:G40)</f>
        <v>0</v>
      </c>
      <c r="H38" s="313"/>
      <c r="I38" s="241">
        <f t="shared" si="1"/>
        <v>0</v>
      </c>
      <c r="M38" s="207"/>
      <c r="N38" s="207"/>
    </row>
    <row r="39" spans="1:15" s="193" customFormat="1" ht="45">
      <c r="A39" s="230"/>
      <c r="B39" s="231"/>
      <c r="C39" s="217" t="s">
        <v>168</v>
      </c>
      <c r="D39" s="232" t="s">
        <v>166</v>
      </c>
      <c r="E39" s="311">
        <v>20000</v>
      </c>
      <c r="F39" s="311">
        <v>0</v>
      </c>
      <c r="G39" s="311">
        <v>0</v>
      </c>
      <c r="H39" s="311"/>
      <c r="I39" s="211">
        <v>0</v>
      </c>
      <c r="M39" s="207"/>
      <c r="N39" s="207"/>
    </row>
    <row r="40" spans="1:15" ht="32.25" customHeight="1">
      <c r="A40" s="233"/>
      <c r="B40" s="195"/>
      <c r="C40" s="217" t="s">
        <v>169</v>
      </c>
      <c r="D40" s="218" t="s">
        <v>167</v>
      </c>
      <c r="E40" s="311">
        <v>200000</v>
      </c>
      <c r="F40" s="311">
        <f>E40</f>
        <v>200000</v>
      </c>
      <c r="G40" s="311">
        <v>0</v>
      </c>
      <c r="H40" s="311"/>
      <c r="I40" s="211">
        <f t="shared" si="1"/>
        <v>0</v>
      </c>
    </row>
    <row r="41" spans="1:15" s="193" customFormat="1">
      <c r="A41" s="216"/>
      <c r="B41" s="216">
        <v>60016</v>
      </c>
      <c r="C41" s="229"/>
      <c r="D41" s="205" t="s">
        <v>20</v>
      </c>
      <c r="E41" s="313">
        <f>SUM(E42:E45)</f>
        <v>2136178</v>
      </c>
      <c r="F41" s="313">
        <f>SUM(F42:F45)</f>
        <v>1868000</v>
      </c>
      <c r="G41" s="313">
        <f>SUM(G42:G45)</f>
        <v>97000</v>
      </c>
      <c r="H41" s="313">
        <f>SUM(H42:H45)</f>
        <v>52567.6</v>
      </c>
      <c r="I41" s="241">
        <f t="shared" si="1"/>
        <v>5.1927194860813708E-2</v>
      </c>
      <c r="L41" s="207">
        <f>E42+E43+E44</f>
        <v>642690</v>
      </c>
      <c r="M41" s="207">
        <f>F42+F43+F44</f>
        <v>395000</v>
      </c>
      <c r="N41" s="234">
        <f>M41/L41</f>
        <v>0.61460424154724669</v>
      </c>
    </row>
    <row r="42" spans="1:15">
      <c r="A42" s="214"/>
      <c r="B42" s="195"/>
      <c r="C42" s="217" t="s">
        <v>173</v>
      </c>
      <c r="D42" s="218" t="s">
        <v>11</v>
      </c>
      <c r="E42" s="311">
        <v>22000</v>
      </c>
      <c r="F42" s="311">
        <v>15000</v>
      </c>
      <c r="G42" s="311">
        <v>10000</v>
      </c>
      <c r="H42" s="359">
        <v>5903.18</v>
      </c>
      <c r="I42" s="211">
        <f t="shared" si="1"/>
        <v>0.66666666666666663</v>
      </c>
    </row>
    <row r="43" spans="1:15">
      <c r="A43" s="195"/>
      <c r="B43" s="195"/>
      <c r="C43" s="217" t="s">
        <v>179</v>
      </c>
      <c r="D43" s="218" t="s">
        <v>21</v>
      </c>
      <c r="E43" s="311">
        <v>429600</v>
      </c>
      <c r="F43" s="311">
        <v>260000</v>
      </c>
      <c r="G43" s="311">
        <v>54000</v>
      </c>
      <c r="H43" s="359">
        <v>43964.42</v>
      </c>
      <c r="I43" s="211">
        <f t="shared" si="1"/>
        <v>0.2076923076923077</v>
      </c>
      <c r="L43" s="192">
        <f>G41-H41</f>
        <v>44432.4</v>
      </c>
      <c r="M43" s="192">
        <f>F42+F43+F44</f>
        <v>395000</v>
      </c>
      <c r="N43" s="192">
        <f>G42+G43+G44</f>
        <v>97000</v>
      </c>
      <c r="O43" s="191">
        <f>N43/M43</f>
        <v>0.24556962025316456</v>
      </c>
    </row>
    <row r="44" spans="1:15">
      <c r="A44" s="195"/>
      <c r="B44" s="195"/>
      <c r="C44" s="217" t="s">
        <v>174</v>
      </c>
      <c r="D44" s="218" t="s">
        <v>13</v>
      </c>
      <c r="E44" s="311">
        <v>191090</v>
      </c>
      <c r="F44" s="311">
        <v>120000</v>
      </c>
      <c r="G44" s="311">
        <v>33000</v>
      </c>
      <c r="H44" s="359">
        <v>2700</v>
      </c>
      <c r="I44" s="211">
        <f t="shared" si="1"/>
        <v>0.27500000000000002</v>
      </c>
    </row>
    <row r="45" spans="1:15" ht="14.25" customHeight="1">
      <c r="A45" s="195"/>
      <c r="B45" s="195"/>
      <c r="C45" s="217" t="s">
        <v>180</v>
      </c>
      <c r="D45" s="218" t="s">
        <v>160</v>
      </c>
      <c r="E45" s="311">
        <v>1493488</v>
      </c>
      <c r="F45" s="311">
        <v>1473000</v>
      </c>
      <c r="G45" s="311">
        <v>0</v>
      </c>
      <c r="H45" s="311"/>
      <c r="I45" s="211">
        <f t="shared" si="1"/>
        <v>0</v>
      </c>
    </row>
    <row r="46" spans="1:15" ht="14.25" hidden="1" customHeight="1">
      <c r="A46" s="199">
        <v>630</v>
      </c>
      <c r="B46" s="200"/>
      <c r="C46" s="228"/>
      <c r="D46" s="201" t="s">
        <v>303</v>
      </c>
      <c r="E46" s="312">
        <f t="shared" ref="E46:G47" si="2">E47</f>
        <v>0</v>
      </c>
      <c r="F46" s="312">
        <f t="shared" si="2"/>
        <v>0</v>
      </c>
      <c r="G46" s="312">
        <f t="shared" si="2"/>
        <v>0</v>
      </c>
      <c r="H46" s="312"/>
      <c r="I46" s="211" t="e">
        <f t="shared" si="1"/>
        <v>#DIV/0!</v>
      </c>
    </row>
    <row r="47" spans="1:15" ht="24" hidden="1" customHeight="1">
      <c r="A47" s="203"/>
      <c r="B47" s="204">
        <v>63003</v>
      </c>
      <c r="C47" s="229"/>
      <c r="D47" s="205" t="s">
        <v>304</v>
      </c>
      <c r="E47" s="313">
        <f t="shared" si="2"/>
        <v>0</v>
      </c>
      <c r="F47" s="313">
        <f t="shared" si="2"/>
        <v>0</v>
      </c>
      <c r="G47" s="313">
        <f t="shared" si="2"/>
        <v>0</v>
      </c>
      <c r="H47" s="313"/>
      <c r="I47" s="211" t="e">
        <f t="shared" si="1"/>
        <v>#DIV/0!</v>
      </c>
    </row>
    <row r="48" spans="1:15" ht="39.75" hidden="1" customHeight="1">
      <c r="A48" s="195"/>
      <c r="B48" s="195"/>
      <c r="C48" s="217" t="s">
        <v>285</v>
      </c>
      <c r="D48" s="218" t="s">
        <v>286</v>
      </c>
      <c r="E48" s="311"/>
      <c r="F48" s="311"/>
      <c r="G48" s="311"/>
      <c r="H48" s="311"/>
      <c r="I48" s="211" t="e">
        <f t="shared" si="1"/>
        <v>#DIV/0!</v>
      </c>
    </row>
    <row r="49" spans="1:14">
      <c r="A49" s="199">
        <v>700</v>
      </c>
      <c r="B49" s="200"/>
      <c r="C49" s="228"/>
      <c r="D49" s="201" t="s">
        <v>289</v>
      </c>
      <c r="E49" s="312">
        <f>E52</f>
        <v>163000</v>
      </c>
      <c r="F49" s="312">
        <f>F52</f>
        <v>108000</v>
      </c>
      <c r="G49" s="312">
        <f>SUM(G52+G63+G50)</f>
        <v>94000</v>
      </c>
      <c r="H49" s="312"/>
      <c r="I49" s="282">
        <f t="shared" si="1"/>
        <v>0.87037037037037035</v>
      </c>
    </row>
    <row r="50" spans="1:14" s="224" customFormat="1" ht="16.5" hidden="1" customHeight="1">
      <c r="A50" s="203"/>
      <c r="B50" s="204">
        <v>70001</v>
      </c>
      <c r="C50" s="229"/>
      <c r="D50" s="205" t="s">
        <v>23</v>
      </c>
      <c r="E50" s="313">
        <f>SUM(E51:E51)</f>
        <v>0</v>
      </c>
      <c r="F50" s="313">
        <f>SUM(F51:F51)</f>
        <v>0</v>
      </c>
      <c r="G50" s="317">
        <f>SUM(G51:G51)</f>
        <v>0</v>
      </c>
      <c r="H50" s="317"/>
      <c r="I50" s="211" t="e">
        <f t="shared" si="1"/>
        <v>#DIV/0!</v>
      </c>
      <c r="K50" s="225"/>
      <c r="M50" s="226"/>
      <c r="N50" s="226"/>
    </row>
    <row r="51" spans="1:14" s="212" customFormat="1" ht="22.5" hidden="1">
      <c r="A51" s="233"/>
      <c r="B51" s="194"/>
      <c r="C51" s="217" t="s">
        <v>178</v>
      </c>
      <c r="D51" s="218" t="s">
        <v>165</v>
      </c>
      <c r="E51" s="311"/>
      <c r="F51" s="311"/>
      <c r="G51" s="311"/>
      <c r="H51" s="311"/>
      <c r="I51" s="211" t="e">
        <f t="shared" si="1"/>
        <v>#DIV/0!</v>
      </c>
      <c r="K51" s="236"/>
      <c r="M51" s="213"/>
      <c r="N51" s="213"/>
    </row>
    <row r="52" spans="1:14" s="193" customFormat="1">
      <c r="A52" s="204"/>
      <c r="B52" s="216">
        <v>70005</v>
      </c>
      <c r="C52" s="216"/>
      <c r="D52" s="205" t="s">
        <v>290</v>
      </c>
      <c r="E52" s="313">
        <f>SUM(E53:E62)</f>
        <v>163000</v>
      </c>
      <c r="F52" s="313">
        <f>SUM(F53:F62)</f>
        <v>108000</v>
      </c>
      <c r="G52" s="313">
        <f>SUM(G53:G62)</f>
        <v>94000</v>
      </c>
      <c r="H52" s="313"/>
      <c r="I52" s="241">
        <f t="shared" si="1"/>
        <v>0.87037037037037035</v>
      </c>
      <c r="M52" s="207"/>
      <c r="N52" s="207"/>
    </row>
    <row r="53" spans="1:14" ht="22.5">
      <c r="A53" s="270"/>
      <c r="B53" s="252"/>
      <c r="C53" s="253" t="s">
        <v>178</v>
      </c>
      <c r="D53" s="232" t="s">
        <v>165</v>
      </c>
      <c r="E53" s="349"/>
      <c r="F53" s="349"/>
      <c r="G53" s="349">
        <v>7700</v>
      </c>
      <c r="H53" s="349"/>
      <c r="I53" s="285"/>
    </row>
    <row r="54" spans="1:14" hidden="1">
      <c r="A54" s="195"/>
      <c r="B54" s="197"/>
      <c r="C54" s="217" t="s">
        <v>173</v>
      </c>
      <c r="D54" s="218" t="s">
        <v>11</v>
      </c>
      <c r="E54" s="311">
        <v>5000</v>
      </c>
      <c r="F54" s="311">
        <v>2000</v>
      </c>
      <c r="G54" s="311"/>
      <c r="H54" s="311"/>
      <c r="I54" s="211">
        <f t="shared" si="1"/>
        <v>0</v>
      </c>
      <c r="J54" s="211">
        <f>G54/F54</f>
        <v>0</v>
      </c>
      <c r="K54" s="211" t="e">
        <f>I54/G54</f>
        <v>#DIV/0!</v>
      </c>
      <c r="L54" s="192">
        <f>SUM(E54:E60)</f>
        <v>163000</v>
      </c>
      <c r="M54" s="192">
        <f>SUM(F54:F60)</f>
        <v>108000</v>
      </c>
      <c r="N54" s="191">
        <f>M54/L54</f>
        <v>0.66257668711656437</v>
      </c>
    </row>
    <row r="55" spans="1:14">
      <c r="A55" s="195"/>
      <c r="B55" s="197"/>
      <c r="C55" s="217" t="s">
        <v>181</v>
      </c>
      <c r="D55" s="218" t="s">
        <v>24</v>
      </c>
      <c r="E55" s="311">
        <v>16000</v>
      </c>
      <c r="F55" s="311">
        <f>E55</f>
        <v>16000</v>
      </c>
      <c r="G55" s="311">
        <v>20000</v>
      </c>
      <c r="H55" s="311"/>
      <c r="I55" s="211">
        <f t="shared" si="1"/>
        <v>1.25</v>
      </c>
      <c r="L55" s="192">
        <f>E61+E62</f>
        <v>0</v>
      </c>
      <c r="M55" s="192">
        <f>F61+F62</f>
        <v>0</v>
      </c>
      <c r="N55" s="191" t="e">
        <f>M55/L55</f>
        <v>#DIV/0!</v>
      </c>
    </row>
    <row r="56" spans="1:14" s="212" customFormat="1">
      <c r="A56" s="195"/>
      <c r="B56" s="197"/>
      <c r="C56" s="217" t="s">
        <v>179</v>
      </c>
      <c r="D56" s="218" t="s">
        <v>21</v>
      </c>
      <c r="E56" s="311">
        <v>38000</v>
      </c>
      <c r="F56" s="311">
        <v>15000</v>
      </c>
      <c r="G56" s="311">
        <v>5000</v>
      </c>
      <c r="H56" s="311"/>
      <c r="I56" s="211">
        <f t="shared" si="1"/>
        <v>0.33333333333333331</v>
      </c>
      <c r="M56" s="213"/>
      <c r="N56" s="213"/>
    </row>
    <row r="57" spans="1:14">
      <c r="A57" s="195"/>
      <c r="B57" s="195"/>
      <c r="C57" s="217" t="s">
        <v>174</v>
      </c>
      <c r="D57" s="218" t="s">
        <v>13</v>
      </c>
      <c r="E57" s="311">
        <v>90000</v>
      </c>
      <c r="F57" s="311">
        <v>65000</v>
      </c>
      <c r="G57" s="311">
        <v>57300</v>
      </c>
      <c r="H57" s="311"/>
      <c r="I57" s="211">
        <f t="shared" si="1"/>
        <v>0.88153846153846149</v>
      </c>
    </row>
    <row r="58" spans="1:14">
      <c r="A58" s="195"/>
      <c r="B58" s="195"/>
      <c r="C58" s="217" t="s">
        <v>175</v>
      </c>
      <c r="D58" s="218" t="s">
        <v>25</v>
      </c>
      <c r="E58" s="311">
        <v>2000</v>
      </c>
      <c r="F58" s="311">
        <v>2000</v>
      </c>
      <c r="G58" s="311"/>
      <c r="H58" s="311"/>
      <c r="I58" s="211">
        <f t="shared" si="1"/>
        <v>0</v>
      </c>
      <c r="K58" s="237"/>
      <c r="L58" s="190"/>
      <c r="M58" s="192">
        <f>F52-F57-F56</f>
        <v>28000</v>
      </c>
      <c r="N58" s="191"/>
    </row>
    <row r="59" spans="1:14">
      <c r="A59" s="195"/>
      <c r="B59" s="195"/>
      <c r="C59" s="217" t="s">
        <v>176</v>
      </c>
      <c r="D59" s="218" t="s">
        <v>26</v>
      </c>
      <c r="E59" s="311">
        <v>12000</v>
      </c>
      <c r="F59" s="311">
        <v>8000</v>
      </c>
      <c r="G59" s="311">
        <v>4000</v>
      </c>
      <c r="H59" s="311"/>
      <c r="I59" s="211">
        <f t="shared" si="1"/>
        <v>0.5</v>
      </c>
      <c r="K59" s="237"/>
    </row>
    <row r="60" spans="1:14" hidden="1">
      <c r="A60" s="195"/>
      <c r="B60" s="195"/>
      <c r="C60" s="217" t="s">
        <v>305</v>
      </c>
      <c r="D60" s="218" t="s">
        <v>306</v>
      </c>
      <c r="E60" s="311"/>
      <c r="F60" s="311"/>
      <c r="G60" s="311"/>
      <c r="H60" s="311"/>
      <c r="I60" s="211" t="e">
        <f t="shared" si="1"/>
        <v>#DIV/0!</v>
      </c>
      <c r="K60" s="237"/>
    </row>
    <row r="61" spans="1:14" ht="14.25" hidden="1" customHeight="1">
      <c r="A61" s="195"/>
      <c r="B61" s="195"/>
      <c r="C61" s="217" t="s">
        <v>180</v>
      </c>
      <c r="D61" s="218" t="s">
        <v>160</v>
      </c>
      <c r="E61" s="311"/>
      <c r="F61" s="311"/>
      <c r="G61" s="311"/>
      <c r="H61" s="311"/>
      <c r="I61" s="211" t="e">
        <f t="shared" si="1"/>
        <v>#DIV/0!</v>
      </c>
      <c r="K61" s="237"/>
    </row>
    <row r="62" spans="1:14" ht="22.5" hidden="1">
      <c r="A62" s="195"/>
      <c r="B62" s="195"/>
      <c r="C62" s="217" t="s">
        <v>182</v>
      </c>
      <c r="D62" s="218" t="s">
        <v>34</v>
      </c>
      <c r="E62" s="311"/>
      <c r="F62" s="311"/>
      <c r="G62" s="311"/>
      <c r="H62" s="311"/>
      <c r="I62" s="211" t="e">
        <f t="shared" si="1"/>
        <v>#DIV/0!</v>
      </c>
      <c r="J62" s="212"/>
    </row>
    <row r="63" spans="1:14" hidden="1">
      <c r="A63" s="238"/>
      <c r="B63" s="216">
        <v>70095</v>
      </c>
      <c r="C63" s="238"/>
      <c r="D63" s="204" t="s">
        <v>17</v>
      </c>
      <c r="E63" s="313">
        <f>SUM(E64:E65)</f>
        <v>0</v>
      </c>
      <c r="F63" s="313">
        <f>SUM(F64:F65)</f>
        <v>0</v>
      </c>
      <c r="G63" s="313">
        <f>SUM(G64:G65)</f>
        <v>0</v>
      </c>
      <c r="H63" s="313"/>
      <c r="I63" s="211" t="e">
        <f t="shared" si="1"/>
        <v>#DIV/0!</v>
      </c>
    </row>
    <row r="64" spans="1:14" ht="28.5" hidden="1" customHeight="1">
      <c r="A64" s="195"/>
      <c r="B64" s="195"/>
      <c r="C64" s="214">
        <v>4210</v>
      </c>
      <c r="D64" s="195" t="s">
        <v>11</v>
      </c>
      <c r="E64" s="311"/>
      <c r="F64" s="311"/>
      <c r="G64" s="311"/>
      <c r="H64" s="311"/>
      <c r="I64" s="211" t="e">
        <f t="shared" si="1"/>
        <v>#DIV/0!</v>
      </c>
    </row>
    <row r="65" spans="1:14" ht="28.5" hidden="1" customHeight="1">
      <c r="A65" s="195"/>
      <c r="B65" s="195"/>
      <c r="C65" s="214">
        <v>4300</v>
      </c>
      <c r="D65" s="195" t="s">
        <v>13</v>
      </c>
      <c r="E65" s="311"/>
      <c r="F65" s="311"/>
      <c r="G65" s="311"/>
      <c r="H65" s="311"/>
      <c r="I65" s="211" t="e">
        <f t="shared" si="1"/>
        <v>#DIV/0!</v>
      </c>
    </row>
    <row r="66" spans="1:14">
      <c r="A66" s="215">
        <v>710</v>
      </c>
      <c r="B66" s="227"/>
      <c r="C66" s="228"/>
      <c r="D66" s="201" t="s">
        <v>291</v>
      </c>
      <c r="E66" s="314">
        <f>E67+E71+E73</f>
        <v>133500</v>
      </c>
      <c r="F66" s="314">
        <f>F67+F71+F73</f>
        <v>26900</v>
      </c>
      <c r="G66" s="314">
        <f>G67+G71+G73</f>
        <v>80000</v>
      </c>
      <c r="H66" s="314"/>
      <c r="I66" s="211">
        <f t="shared" si="1"/>
        <v>2.9739776951672861</v>
      </c>
    </row>
    <row r="67" spans="1:14">
      <c r="A67" s="216"/>
      <c r="B67" s="204">
        <v>71004</v>
      </c>
      <c r="C67" s="239"/>
      <c r="D67" s="240" t="s">
        <v>292</v>
      </c>
      <c r="E67" s="313">
        <f>SUM(E68:E69)</f>
        <v>114000</v>
      </c>
      <c r="F67" s="313">
        <f>SUM(F68:F69)</f>
        <v>20400</v>
      </c>
      <c r="G67" s="313">
        <f>SUM(G68:G70)</f>
        <v>73000</v>
      </c>
      <c r="H67" s="313"/>
      <c r="I67" s="241">
        <f t="shared" si="1"/>
        <v>3.5784313725490198</v>
      </c>
    </row>
    <row r="68" spans="1:14">
      <c r="A68" s="197"/>
      <c r="B68" s="194"/>
      <c r="C68" s="217" t="s">
        <v>172</v>
      </c>
      <c r="D68" s="218" t="s">
        <v>164</v>
      </c>
      <c r="E68" s="311">
        <v>4000</v>
      </c>
      <c r="F68" s="311">
        <v>400</v>
      </c>
      <c r="G68" s="311">
        <v>2000</v>
      </c>
      <c r="H68" s="311"/>
      <c r="I68" s="211">
        <f t="shared" si="1"/>
        <v>5</v>
      </c>
    </row>
    <row r="69" spans="1:14">
      <c r="A69" s="195"/>
      <c r="B69" s="195"/>
      <c r="C69" s="217" t="s">
        <v>174</v>
      </c>
      <c r="D69" s="218" t="s">
        <v>13</v>
      </c>
      <c r="E69" s="311">
        <v>110000</v>
      </c>
      <c r="F69" s="311">
        <v>20000</v>
      </c>
      <c r="G69" s="319">
        <v>0</v>
      </c>
      <c r="H69" s="311"/>
      <c r="I69" s="211">
        <f t="shared" si="1"/>
        <v>0</v>
      </c>
    </row>
    <row r="70" spans="1:14">
      <c r="A70" s="195"/>
      <c r="B70" s="195"/>
      <c r="C70" s="217" t="s">
        <v>180</v>
      </c>
      <c r="D70" s="218" t="s">
        <v>160</v>
      </c>
      <c r="E70" s="311"/>
      <c r="F70" s="311"/>
      <c r="G70" s="319">
        <v>71000</v>
      </c>
      <c r="H70" s="311"/>
      <c r="I70" s="211"/>
    </row>
    <row r="71" spans="1:14" s="193" customFormat="1">
      <c r="A71" s="204"/>
      <c r="B71" s="204">
        <v>71014</v>
      </c>
      <c r="C71" s="216"/>
      <c r="D71" s="240" t="s">
        <v>293</v>
      </c>
      <c r="E71" s="313">
        <f>E72</f>
        <v>19000</v>
      </c>
      <c r="F71" s="313">
        <f>F72</f>
        <v>6000</v>
      </c>
      <c r="G71" s="313">
        <f>G72</f>
        <v>6000</v>
      </c>
      <c r="H71" s="313"/>
      <c r="I71" s="241">
        <f t="shared" si="1"/>
        <v>1</v>
      </c>
      <c r="M71" s="207"/>
      <c r="N71" s="207"/>
    </row>
    <row r="72" spans="1:14" ht="14.25" customHeight="1">
      <c r="A72" s="195"/>
      <c r="B72" s="195"/>
      <c r="C72" s="214">
        <v>4300</v>
      </c>
      <c r="D72" s="195" t="s">
        <v>13</v>
      </c>
      <c r="E72" s="311">
        <v>19000</v>
      </c>
      <c r="F72" s="311">
        <v>6000</v>
      </c>
      <c r="G72" s="311">
        <v>6000</v>
      </c>
      <c r="H72" s="311"/>
      <c r="I72" s="211">
        <f t="shared" si="1"/>
        <v>1</v>
      </c>
    </row>
    <row r="73" spans="1:14">
      <c r="A73" s="305"/>
      <c r="B73" s="305">
        <v>71035</v>
      </c>
      <c r="C73" s="306"/>
      <c r="D73" s="307" t="s">
        <v>397</v>
      </c>
      <c r="E73" s="318">
        <f>E74</f>
        <v>500</v>
      </c>
      <c r="F73" s="318">
        <f>F74</f>
        <v>500</v>
      </c>
      <c r="G73" s="318">
        <f>G74</f>
        <v>1000</v>
      </c>
      <c r="H73" s="318"/>
      <c r="I73" s="211">
        <f t="shared" si="1"/>
        <v>2</v>
      </c>
    </row>
    <row r="74" spans="1:14">
      <c r="A74" s="195"/>
      <c r="B74" s="195"/>
      <c r="C74" s="214">
        <v>4300</v>
      </c>
      <c r="D74" s="195" t="s">
        <v>13</v>
      </c>
      <c r="E74" s="311">
        <v>500</v>
      </c>
      <c r="F74" s="311">
        <v>500</v>
      </c>
      <c r="G74" s="311">
        <v>1000</v>
      </c>
      <c r="H74" s="311"/>
      <c r="I74" s="211">
        <f t="shared" si="1"/>
        <v>2</v>
      </c>
    </row>
    <row r="75" spans="1:14">
      <c r="A75" s="199">
        <v>750</v>
      </c>
      <c r="B75" s="227"/>
      <c r="C75" s="200"/>
      <c r="D75" s="201" t="s">
        <v>183</v>
      </c>
      <c r="E75" s="312">
        <f>E76+E86+E94+E117+E125+E130</f>
        <v>2702711</v>
      </c>
      <c r="F75" s="312">
        <f>F76+F86+F94+F117+F125+F130</f>
        <v>2578370.4</v>
      </c>
      <c r="G75" s="312">
        <f>G76+G86+G94+G117+G125+G130</f>
        <v>2509029</v>
      </c>
      <c r="H75" s="312"/>
      <c r="I75" s="282">
        <f t="shared" si="1"/>
        <v>0.97310650168804302</v>
      </c>
      <c r="J75" s="242"/>
      <c r="K75" s="242"/>
      <c r="L75" s="243"/>
    </row>
    <row r="76" spans="1:14">
      <c r="A76" s="238"/>
      <c r="B76" s="216">
        <v>75011</v>
      </c>
      <c r="C76" s="238"/>
      <c r="D76" s="240" t="s">
        <v>28</v>
      </c>
      <c r="E76" s="313">
        <f>SUM(E77:E84)</f>
        <v>77132</v>
      </c>
      <c r="F76" s="313">
        <f>SUM(F77:F85)</f>
        <v>69832</v>
      </c>
      <c r="G76" s="313">
        <f>SUM(G77:G85)</f>
        <v>71579</v>
      </c>
      <c r="H76" s="313"/>
      <c r="I76" s="241">
        <f t="shared" si="1"/>
        <v>1.0250171840989803</v>
      </c>
    </row>
    <row r="77" spans="1:14">
      <c r="A77" s="195"/>
      <c r="B77" s="195"/>
      <c r="C77" s="214">
        <v>4010</v>
      </c>
      <c r="D77" s="218" t="s">
        <v>184</v>
      </c>
      <c r="E77" s="311">
        <v>42503</v>
      </c>
      <c r="F77" s="311">
        <f>E77</f>
        <v>42503</v>
      </c>
      <c r="G77" s="311">
        <f>F77</f>
        <v>42503</v>
      </c>
      <c r="H77" s="311"/>
      <c r="I77" s="211">
        <f t="shared" si="1"/>
        <v>1</v>
      </c>
      <c r="L77" s="190">
        <f>F77+F78+F79+F80</f>
        <v>52332</v>
      </c>
      <c r="M77" s="192">
        <f>F76-F85</f>
        <v>69832</v>
      </c>
    </row>
    <row r="78" spans="1:14">
      <c r="A78" s="195"/>
      <c r="B78" s="195"/>
      <c r="C78" s="214">
        <v>4040</v>
      </c>
      <c r="D78" s="218" t="s">
        <v>185</v>
      </c>
      <c r="E78" s="311">
        <v>2332</v>
      </c>
      <c r="F78" s="311">
        <f>E78</f>
        <v>2332</v>
      </c>
      <c r="G78" s="311">
        <v>2379</v>
      </c>
      <c r="H78" s="311"/>
      <c r="I78" s="211">
        <f t="shared" si="1"/>
        <v>1.0201543739279588</v>
      </c>
      <c r="L78" s="190"/>
    </row>
    <row r="79" spans="1:14">
      <c r="A79" s="195"/>
      <c r="B79" s="195"/>
      <c r="C79" s="214">
        <v>4110</v>
      </c>
      <c r="D79" s="218" t="s">
        <v>45</v>
      </c>
      <c r="E79" s="311">
        <v>6456</v>
      </c>
      <c r="F79" s="311">
        <f>E79</f>
        <v>6456</v>
      </c>
      <c r="G79" s="311">
        <f>F79</f>
        <v>6456</v>
      </c>
      <c r="H79" s="311"/>
      <c r="I79" s="211">
        <f t="shared" si="1"/>
        <v>1</v>
      </c>
      <c r="L79" s="190">
        <f>SUM(L77:L78)</f>
        <v>52332</v>
      </c>
    </row>
    <row r="80" spans="1:14">
      <c r="A80" s="195"/>
      <c r="B80" s="195"/>
      <c r="C80" s="214">
        <v>4120</v>
      </c>
      <c r="D80" s="218" t="s">
        <v>163</v>
      </c>
      <c r="E80" s="311">
        <v>1041</v>
      </c>
      <c r="F80" s="311">
        <f>E80</f>
        <v>1041</v>
      </c>
      <c r="G80" s="311">
        <f>F80</f>
        <v>1041</v>
      </c>
      <c r="H80" s="311"/>
      <c r="I80" s="211">
        <f t="shared" ref="I80:I143" si="3">G80/F80</f>
        <v>1</v>
      </c>
    </row>
    <row r="81" spans="1:14">
      <c r="A81" s="195"/>
      <c r="B81" s="195"/>
      <c r="C81" s="214">
        <v>4210</v>
      </c>
      <c r="D81" s="218" t="s">
        <v>11</v>
      </c>
      <c r="E81" s="311">
        <v>10000</v>
      </c>
      <c r="F81" s="311">
        <v>3500</v>
      </c>
      <c r="G81" s="311">
        <v>3500</v>
      </c>
      <c r="H81" s="311"/>
      <c r="I81" s="211">
        <f t="shared" si="3"/>
        <v>1</v>
      </c>
    </row>
    <row r="82" spans="1:14">
      <c r="A82" s="195"/>
      <c r="B82" s="195"/>
      <c r="C82" s="214">
        <v>4300</v>
      </c>
      <c r="D82" s="218" t="s">
        <v>13</v>
      </c>
      <c r="E82" s="311">
        <v>8000</v>
      </c>
      <c r="F82" s="311">
        <v>8000</v>
      </c>
      <c r="G82" s="311">
        <v>15700</v>
      </c>
      <c r="H82" s="311"/>
      <c r="I82" s="211">
        <f t="shared" si="3"/>
        <v>1.9624999999999999</v>
      </c>
    </row>
    <row r="83" spans="1:14" ht="33.75">
      <c r="A83" s="195"/>
      <c r="B83" s="195"/>
      <c r="C83" s="301" t="s">
        <v>192</v>
      </c>
      <c r="D83" s="302" t="s">
        <v>398</v>
      </c>
      <c r="E83" s="311">
        <v>800</v>
      </c>
      <c r="F83" s="311">
        <v>0</v>
      </c>
      <c r="G83" s="311">
        <v>0</v>
      </c>
      <c r="H83" s="311"/>
      <c r="I83" s="211" t="e">
        <f t="shared" si="3"/>
        <v>#DIV/0!</v>
      </c>
    </row>
    <row r="84" spans="1:14" ht="22.5">
      <c r="A84" s="195"/>
      <c r="B84" s="195"/>
      <c r="C84" s="214">
        <v>4750</v>
      </c>
      <c r="D84" s="218" t="s">
        <v>186</v>
      </c>
      <c r="E84" s="311">
        <v>6000</v>
      </c>
      <c r="F84" s="311">
        <f>E84</f>
        <v>6000</v>
      </c>
      <c r="G84" s="319">
        <v>0</v>
      </c>
      <c r="H84" s="319"/>
      <c r="I84" s="211">
        <f t="shared" si="3"/>
        <v>0</v>
      </c>
    </row>
    <row r="85" spans="1:14" ht="22.5" hidden="1">
      <c r="A85" s="195"/>
      <c r="B85" s="195"/>
      <c r="C85" s="217" t="s">
        <v>182</v>
      </c>
      <c r="D85" s="218" t="s">
        <v>34</v>
      </c>
      <c r="E85" s="311"/>
      <c r="F85" s="311"/>
      <c r="G85" s="311"/>
      <c r="H85" s="311"/>
      <c r="I85" s="211" t="e">
        <f t="shared" si="3"/>
        <v>#DIV/0!</v>
      </c>
    </row>
    <row r="86" spans="1:14">
      <c r="A86" s="238"/>
      <c r="B86" s="216">
        <v>75022</v>
      </c>
      <c r="C86" s="238"/>
      <c r="D86" s="204" t="s">
        <v>31</v>
      </c>
      <c r="E86" s="313">
        <f>SUM(E87:E93)</f>
        <v>127400</v>
      </c>
      <c r="F86" s="313">
        <f>SUM(F87:F93)</f>
        <v>109045.75</v>
      </c>
      <c r="G86" s="313">
        <f>SUM(G87:G93)</f>
        <v>123000</v>
      </c>
      <c r="H86" s="313"/>
      <c r="I86" s="241">
        <f t="shared" si="3"/>
        <v>1.1279669313109406</v>
      </c>
    </row>
    <row r="87" spans="1:14">
      <c r="A87" s="195"/>
      <c r="B87" s="195"/>
      <c r="C87" s="217" t="s">
        <v>191</v>
      </c>
      <c r="D87" s="218" t="s">
        <v>187</v>
      </c>
      <c r="E87" s="311">
        <v>116000</v>
      </c>
      <c r="F87" s="311">
        <v>100000</v>
      </c>
      <c r="G87" s="311">
        <v>118400</v>
      </c>
      <c r="H87" s="311"/>
      <c r="I87" s="211">
        <f t="shared" si="3"/>
        <v>1.1839999999999999</v>
      </c>
    </row>
    <row r="88" spans="1:14">
      <c r="A88" s="195"/>
      <c r="B88" s="195"/>
      <c r="C88" s="217" t="s">
        <v>173</v>
      </c>
      <c r="D88" s="218" t="s">
        <v>11</v>
      </c>
      <c r="E88" s="311">
        <v>3500</v>
      </c>
      <c r="F88" s="311">
        <f>E88</f>
        <v>3500</v>
      </c>
      <c r="G88" s="311">
        <v>2000</v>
      </c>
      <c r="H88" s="311"/>
      <c r="I88" s="211">
        <f t="shared" si="3"/>
        <v>0.5714285714285714</v>
      </c>
    </row>
    <row r="89" spans="1:14">
      <c r="A89" s="195"/>
      <c r="B89" s="195"/>
      <c r="C89" s="217" t="s">
        <v>179</v>
      </c>
      <c r="D89" s="218" t="s">
        <v>21</v>
      </c>
      <c r="E89" s="311">
        <v>800</v>
      </c>
      <c r="F89" s="311">
        <v>0</v>
      </c>
      <c r="G89" s="311">
        <v>0</v>
      </c>
      <c r="H89" s="311"/>
      <c r="I89" s="211" t="e">
        <f t="shared" si="3"/>
        <v>#DIV/0!</v>
      </c>
    </row>
    <row r="90" spans="1:14">
      <c r="A90" s="195"/>
      <c r="B90" s="195"/>
      <c r="C90" s="217" t="s">
        <v>174</v>
      </c>
      <c r="D90" s="218" t="s">
        <v>13</v>
      </c>
      <c r="E90" s="311">
        <v>500</v>
      </c>
      <c r="F90" s="311">
        <v>0</v>
      </c>
      <c r="G90" s="311">
        <v>300</v>
      </c>
      <c r="H90" s="311"/>
      <c r="I90" s="211" t="e">
        <f t="shared" si="3"/>
        <v>#DIV/0!</v>
      </c>
    </row>
    <row r="91" spans="1:14" ht="22.5">
      <c r="A91" s="195"/>
      <c r="B91" s="195"/>
      <c r="C91" s="217" t="s">
        <v>192</v>
      </c>
      <c r="D91" s="218" t="s">
        <v>188</v>
      </c>
      <c r="E91" s="311">
        <v>2000</v>
      </c>
      <c r="F91" s="311">
        <v>2500</v>
      </c>
      <c r="G91" s="311">
        <v>1100</v>
      </c>
      <c r="H91" s="311"/>
      <c r="I91" s="211">
        <f t="shared" si="3"/>
        <v>0.44</v>
      </c>
    </row>
    <row r="92" spans="1:14">
      <c r="A92" s="195"/>
      <c r="B92" s="195"/>
      <c r="C92" s="217" t="s">
        <v>175</v>
      </c>
      <c r="D92" s="218" t="s">
        <v>25</v>
      </c>
      <c r="E92" s="311">
        <v>1800</v>
      </c>
      <c r="F92" s="311">
        <v>1500</v>
      </c>
      <c r="G92" s="311">
        <v>1200</v>
      </c>
      <c r="H92" s="311"/>
      <c r="I92" s="211">
        <f t="shared" si="3"/>
        <v>0.8</v>
      </c>
    </row>
    <row r="93" spans="1:14" ht="22.5">
      <c r="A93" s="195"/>
      <c r="B93" s="195"/>
      <c r="C93" s="217" t="s">
        <v>194</v>
      </c>
      <c r="D93" s="218" t="s">
        <v>190</v>
      </c>
      <c r="E93" s="311">
        <v>2800</v>
      </c>
      <c r="F93" s="311">
        <v>1545.75</v>
      </c>
      <c r="G93" s="319">
        <v>0</v>
      </c>
      <c r="H93" s="319"/>
      <c r="I93" s="211">
        <f t="shared" si="3"/>
        <v>0</v>
      </c>
      <c r="M93" s="404">
        <f>G94/E94</f>
        <v>0.94070409867660287</v>
      </c>
    </row>
    <row r="94" spans="1:14">
      <c r="A94" s="238"/>
      <c r="B94" s="216">
        <v>75023</v>
      </c>
      <c r="C94" s="238"/>
      <c r="D94" s="204" t="s">
        <v>32</v>
      </c>
      <c r="E94" s="313">
        <f>SUM(E95:E116)</f>
        <v>2334900</v>
      </c>
      <c r="F94" s="313">
        <f>SUM(F95:F116)</f>
        <v>2250046.65</v>
      </c>
      <c r="G94" s="313">
        <f>SUM(G95:G116)</f>
        <v>2196450</v>
      </c>
      <c r="H94" s="313"/>
      <c r="I94" s="241">
        <f t="shared" si="3"/>
        <v>0.97617976053963151</v>
      </c>
      <c r="J94" s="244"/>
      <c r="L94" s="192">
        <f>G94-E94</f>
        <v>-138450</v>
      </c>
    </row>
    <row r="95" spans="1:14" s="212" customFormat="1">
      <c r="A95" s="195"/>
      <c r="B95" s="197"/>
      <c r="C95" s="217" t="s">
        <v>195</v>
      </c>
      <c r="D95" s="218" t="s">
        <v>196</v>
      </c>
      <c r="E95" s="311">
        <v>6000</v>
      </c>
      <c r="F95" s="311">
        <v>4000</v>
      </c>
      <c r="G95" s="311">
        <v>4000</v>
      </c>
      <c r="H95" s="311"/>
      <c r="I95" s="211">
        <f t="shared" si="3"/>
        <v>1</v>
      </c>
      <c r="M95" s="213"/>
      <c r="N95" s="213"/>
    </row>
    <row r="96" spans="1:14">
      <c r="A96" s="195"/>
      <c r="B96" s="195"/>
      <c r="C96" s="217" t="s">
        <v>197</v>
      </c>
      <c r="D96" s="218" t="s">
        <v>184</v>
      </c>
      <c r="E96" s="311">
        <v>1364100</v>
      </c>
      <c r="F96" s="311">
        <v>1350000</v>
      </c>
      <c r="G96" s="311">
        <v>1365600</v>
      </c>
      <c r="H96" s="311"/>
      <c r="I96" s="211">
        <f t="shared" si="3"/>
        <v>1.0115555555555555</v>
      </c>
    </row>
    <row r="97" spans="1:14">
      <c r="A97" s="195"/>
      <c r="B97" s="195"/>
      <c r="C97" s="217" t="s">
        <v>198</v>
      </c>
      <c r="D97" s="218" t="s">
        <v>185</v>
      </c>
      <c r="E97" s="311">
        <v>103700</v>
      </c>
      <c r="F97" s="311">
        <v>95246.65</v>
      </c>
      <c r="G97" s="311">
        <v>102000</v>
      </c>
      <c r="H97" s="311"/>
      <c r="I97" s="211">
        <f t="shared" si="3"/>
        <v>1.0709038060656202</v>
      </c>
      <c r="L97" s="192">
        <f>E96+E97+E101</f>
        <v>1483800</v>
      </c>
      <c r="M97" s="192">
        <f>F96+F97+F101</f>
        <v>1455246.65</v>
      </c>
      <c r="N97" s="191">
        <f>M97/L97</f>
        <v>0.98075660466370129</v>
      </c>
    </row>
    <row r="98" spans="1:14">
      <c r="A98" s="195"/>
      <c r="B98" s="195"/>
      <c r="C98" s="217" t="s">
        <v>170</v>
      </c>
      <c r="D98" s="218" t="s">
        <v>45</v>
      </c>
      <c r="E98" s="311">
        <v>217000</v>
      </c>
      <c r="F98" s="311">
        <f>E98</f>
        <v>217000</v>
      </c>
      <c r="G98" s="311">
        <v>218000</v>
      </c>
      <c r="H98" s="311"/>
      <c r="I98" s="211">
        <f t="shared" si="3"/>
        <v>1.0046082949308757</v>
      </c>
      <c r="N98" s="191" t="e">
        <f>M98/L98</f>
        <v>#DIV/0!</v>
      </c>
    </row>
    <row r="99" spans="1:14">
      <c r="A99" s="195"/>
      <c r="B99" s="195"/>
      <c r="C99" s="217" t="s">
        <v>171</v>
      </c>
      <c r="D99" s="218" t="s">
        <v>163</v>
      </c>
      <c r="E99" s="311">
        <v>35200</v>
      </c>
      <c r="F99" s="311">
        <f>E99</f>
        <v>35200</v>
      </c>
      <c r="G99" s="311">
        <v>35000</v>
      </c>
      <c r="H99" s="311"/>
      <c r="I99" s="211">
        <f t="shared" si="3"/>
        <v>0.99431818181818177</v>
      </c>
      <c r="L99" s="192">
        <f>E98+E99</f>
        <v>252200</v>
      </c>
      <c r="M99" s="192">
        <f>F98+F99</f>
        <v>252200</v>
      </c>
      <c r="N99" s="191">
        <f>M99/L99</f>
        <v>1</v>
      </c>
    </row>
    <row r="100" spans="1:14" ht="22.5">
      <c r="A100" s="195"/>
      <c r="B100" s="195"/>
      <c r="C100" s="217" t="s">
        <v>199</v>
      </c>
      <c r="D100" s="218" t="s">
        <v>200</v>
      </c>
      <c r="E100" s="311">
        <v>30000</v>
      </c>
      <c r="F100" s="311">
        <v>25000</v>
      </c>
      <c r="G100" s="311">
        <v>30000</v>
      </c>
      <c r="H100" s="311"/>
      <c r="I100" s="211">
        <f t="shared" si="3"/>
        <v>1.2</v>
      </c>
    </row>
    <row r="101" spans="1:14">
      <c r="A101" s="195"/>
      <c r="B101" s="195"/>
      <c r="C101" s="217" t="s">
        <v>172</v>
      </c>
      <c r="D101" s="218" t="s">
        <v>164</v>
      </c>
      <c r="E101" s="311">
        <v>16000</v>
      </c>
      <c r="F101" s="311">
        <v>10000</v>
      </c>
      <c r="G101" s="311">
        <v>8000</v>
      </c>
      <c r="H101" s="311"/>
      <c r="I101" s="211">
        <f t="shared" si="3"/>
        <v>0.8</v>
      </c>
      <c r="L101" s="192">
        <f>E102+E115</f>
        <v>135300</v>
      </c>
      <c r="M101" s="192">
        <f>F102+F115</f>
        <v>109000</v>
      </c>
      <c r="N101" s="191">
        <f>M101/L101</f>
        <v>0.80561714708056176</v>
      </c>
    </row>
    <row r="102" spans="1:14">
      <c r="A102" s="195"/>
      <c r="B102" s="195"/>
      <c r="C102" s="217" t="s">
        <v>173</v>
      </c>
      <c r="D102" s="218" t="s">
        <v>11</v>
      </c>
      <c r="E102" s="311">
        <v>130000</v>
      </c>
      <c r="F102" s="311">
        <v>105000</v>
      </c>
      <c r="G102" s="311">
        <v>140000</v>
      </c>
      <c r="H102" s="311"/>
      <c r="I102" s="211">
        <f t="shared" si="3"/>
        <v>1.3333333333333333</v>
      </c>
    </row>
    <row r="103" spans="1:14">
      <c r="A103" s="195"/>
      <c r="B103" s="195"/>
      <c r="C103" s="217" t="s">
        <v>181</v>
      </c>
      <c r="D103" s="218" t="s">
        <v>24</v>
      </c>
      <c r="E103" s="311">
        <v>17500</v>
      </c>
      <c r="F103" s="311">
        <f>E103</f>
        <v>17500</v>
      </c>
      <c r="G103" s="311">
        <v>20000</v>
      </c>
      <c r="H103" s="311"/>
      <c r="I103" s="211">
        <f t="shared" si="3"/>
        <v>1.1428571428571428</v>
      </c>
      <c r="L103" s="192">
        <f>F101+F102+F103+F104+F105+F106+F107+F108+F109+F110+F112+F114+F115+F116</f>
        <v>484500</v>
      </c>
      <c r="M103" s="192">
        <f>G101+G102+G103+G104+G105+G106+G107+G108+G109+G110+G112+G114+G115+G116</f>
        <v>400850</v>
      </c>
    </row>
    <row r="104" spans="1:14">
      <c r="A104" s="195"/>
      <c r="B104" s="195"/>
      <c r="C104" s="217" t="s">
        <v>179</v>
      </c>
      <c r="D104" s="218" t="s">
        <v>21</v>
      </c>
      <c r="E104" s="311">
        <v>50000</v>
      </c>
      <c r="F104" s="311">
        <f>E104</f>
        <v>50000</v>
      </c>
      <c r="G104" s="311">
        <v>5000</v>
      </c>
      <c r="H104" s="311"/>
      <c r="I104" s="211">
        <f t="shared" si="3"/>
        <v>0.1</v>
      </c>
    </row>
    <row r="105" spans="1:14">
      <c r="A105" s="195"/>
      <c r="B105" s="195"/>
      <c r="C105" s="217" t="s">
        <v>201</v>
      </c>
      <c r="D105" s="218" t="s">
        <v>37</v>
      </c>
      <c r="E105" s="311">
        <v>1000</v>
      </c>
      <c r="F105" s="311">
        <f>E105</f>
        <v>1000</v>
      </c>
      <c r="G105" s="311">
        <v>350</v>
      </c>
      <c r="H105" s="311"/>
      <c r="I105" s="211">
        <f t="shared" si="3"/>
        <v>0.35</v>
      </c>
    </row>
    <row r="106" spans="1:14">
      <c r="A106" s="195"/>
      <c r="B106" s="195"/>
      <c r="C106" s="217" t="s">
        <v>174</v>
      </c>
      <c r="D106" s="218" t="s">
        <v>13</v>
      </c>
      <c r="E106" s="311">
        <v>170000</v>
      </c>
      <c r="F106" s="311">
        <f>E106</f>
        <v>170000</v>
      </c>
      <c r="G106" s="311">
        <v>150000</v>
      </c>
      <c r="H106" s="311"/>
      <c r="I106" s="211">
        <f t="shared" si="3"/>
        <v>0.88235294117647056</v>
      </c>
    </row>
    <row r="107" spans="1:14">
      <c r="A107" s="195"/>
      <c r="B107" s="195"/>
      <c r="C107" s="217" t="s">
        <v>202</v>
      </c>
      <c r="D107" s="218" t="s">
        <v>33</v>
      </c>
      <c r="E107" s="311">
        <v>5000</v>
      </c>
      <c r="F107" s="311">
        <v>3000</v>
      </c>
      <c r="G107" s="311">
        <v>3500</v>
      </c>
      <c r="H107" s="311"/>
      <c r="I107" s="211">
        <f t="shared" si="3"/>
        <v>1.1666666666666667</v>
      </c>
    </row>
    <row r="108" spans="1:14" ht="22.5">
      <c r="A108" s="195"/>
      <c r="B108" s="195"/>
      <c r="C108" s="217" t="s">
        <v>192</v>
      </c>
      <c r="D108" s="218" t="s">
        <v>188</v>
      </c>
      <c r="E108" s="311">
        <v>19000</v>
      </c>
      <c r="F108" s="311">
        <f>E108</f>
        <v>19000</v>
      </c>
      <c r="G108" s="311">
        <v>16000</v>
      </c>
      <c r="H108" s="311"/>
      <c r="I108" s="211">
        <f t="shared" si="3"/>
        <v>0.84210526315789469</v>
      </c>
      <c r="L108" s="192"/>
    </row>
    <row r="109" spans="1:14" ht="22.5">
      <c r="A109" s="195"/>
      <c r="B109" s="195"/>
      <c r="C109" s="217" t="s">
        <v>203</v>
      </c>
      <c r="D109" s="218" t="s">
        <v>204</v>
      </c>
      <c r="E109" s="311">
        <v>21000</v>
      </c>
      <c r="F109" s="311">
        <v>18000</v>
      </c>
      <c r="G109" s="311">
        <v>17000</v>
      </c>
      <c r="H109" s="311"/>
      <c r="I109" s="211">
        <f t="shared" si="3"/>
        <v>0.94444444444444442</v>
      </c>
    </row>
    <row r="110" spans="1:14">
      <c r="A110" s="195"/>
      <c r="B110" s="195"/>
      <c r="C110" s="217" t="s">
        <v>175</v>
      </c>
      <c r="D110" s="218" t="s">
        <v>25</v>
      </c>
      <c r="E110" s="311">
        <v>40000</v>
      </c>
      <c r="F110" s="311">
        <v>38000</v>
      </c>
      <c r="G110" s="311">
        <v>27000</v>
      </c>
      <c r="H110" s="311"/>
      <c r="I110" s="211">
        <f t="shared" si="3"/>
        <v>0.71052631578947367</v>
      </c>
    </row>
    <row r="111" spans="1:14">
      <c r="A111" s="195"/>
      <c r="B111" s="195"/>
      <c r="C111" s="217" t="s">
        <v>205</v>
      </c>
      <c r="D111" s="218" t="s">
        <v>138</v>
      </c>
      <c r="E111" s="311">
        <v>3000</v>
      </c>
      <c r="F111" s="311">
        <v>0</v>
      </c>
      <c r="G111" s="311"/>
      <c r="H111" s="311"/>
      <c r="I111" s="211" t="e">
        <f t="shared" si="3"/>
        <v>#DIV/0!</v>
      </c>
    </row>
    <row r="112" spans="1:14">
      <c r="A112" s="195"/>
      <c r="B112" s="195"/>
      <c r="C112" s="217" t="s">
        <v>176</v>
      </c>
      <c r="D112" s="218" t="s">
        <v>26</v>
      </c>
      <c r="E112" s="311">
        <v>11000</v>
      </c>
      <c r="F112" s="311">
        <v>5000</v>
      </c>
      <c r="G112" s="311">
        <v>6000</v>
      </c>
      <c r="H112" s="311"/>
      <c r="I112" s="211">
        <f t="shared" si="3"/>
        <v>1.2</v>
      </c>
    </row>
    <row r="113" spans="1:9" ht="22.5">
      <c r="A113" s="195"/>
      <c r="B113" s="195"/>
      <c r="C113" s="217" t="s">
        <v>206</v>
      </c>
      <c r="D113" s="218" t="s">
        <v>207</v>
      </c>
      <c r="E113" s="311">
        <v>39100</v>
      </c>
      <c r="F113" s="311">
        <v>39100</v>
      </c>
      <c r="G113" s="311">
        <v>41000</v>
      </c>
      <c r="H113" s="311"/>
      <c r="I113" s="211">
        <f t="shared" si="3"/>
        <v>1.0485933503836318</v>
      </c>
    </row>
    <row r="114" spans="1:9" ht="22.5">
      <c r="A114" s="195"/>
      <c r="B114" s="195"/>
      <c r="C114" s="217" t="s">
        <v>193</v>
      </c>
      <c r="D114" s="218" t="s">
        <v>189</v>
      </c>
      <c r="E114" s="311">
        <v>17000</v>
      </c>
      <c r="F114" s="311">
        <v>14000</v>
      </c>
      <c r="G114" s="311">
        <v>8000</v>
      </c>
      <c r="H114" s="311"/>
      <c r="I114" s="211">
        <f t="shared" si="3"/>
        <v>0.5714285714285714</v>
      </c>
    </row>
    <row r="115" spans="1:9" ht="22.5">
      <c r="A115" s="195"/>
      <c r="B115" s="195"/>
      <c r="C115" s="217" t="s">
        <v>194</v>
      </c>
      <c r="D115" s="218" t="s">
        <v>190</v>
      </c>
      <c r="E115" s="311">
        <v>5300</v>
      </c>
      <c r="F115" s="311">
        <v>4000</v>
      </c>
      <c r="G115" s="319"/>
      <c r="H115" s="319"/>
      <c r="I115" s="211">
        <f t="shared" si="3"/>
        <v>0</v>
      </c>
    </row>
    <row r="116" spans="1:9" ht="22.5">
      <c r="A116" s="195"/>
      <c r="B116" s="195"/>
      <c r="C116" s="217" t="s">
        <v>208</v>
      </c>
      <c r="D116" s="218" t="s">
        <v>186</v>
      </c>
      <c r="E116" s="311">
        <v>34000</v>
      </c>
      <c r="F116" s="311">
        <v>30000</v>
      </c>
      <c r="G116" s="319"/>
      <c r="H116" s="319"/>
      <c r="I116" s="211">
        <f t="shared" si="3"/>
        <v>0</v>
      </c>
    </row>
    <row r="117" spans="1:9">
      <c r="A117" s="238"/>
      <c r="B117" s="238">
        <v>75056</v>
      </c>
      <c r="C117" s="239"/>
      <c r="D117" s="240" t="s">
        <v>461</v>
      </c>
      <c r="E117" s="343">
        <f>SUM(E118:E124)</f>
        <v>26778.999999999996</v>
      </c>
      <c r="F117" s="343">
        <f>SUM(F118:F124)</f>
        <v>26778.999999999996</v>
      </c>
      <c r="G117" s="343">
        <f>SUM(G118:G124)</f>
        <v>0</v>
      </c>
      <c r="H117" s="343"/>
      <c r="I117" s="241">
        <f t="shared" si="3"/>
        <v>0</v>
      </c>
    </row>
    <row r="118" spans="1:9">
      <c r="A118" s="195"/>
      <c r="B118" s="195"/>
      <c r="C118" s="301" t="s">
        <v>195</v>
      </c>
      <c r="D118" s="302" t="s">
        <v>196</v>
      </c>
      <c r="E118" s="311">
        <v>18700</v>
      </c>
      <c r="F118" s="311">
        <f>E118</f>
        <v>18700</v>
      </c>
      <c r="G118" s="311"/>
      <c r="H118" s="311"/>
      <c r="I118" s="211">
        <f t="shared" si="3"/>
        <v>0</v>
      </c>
    </row>
    <row r="119" spans="1:9" ht="22.5">
      <c r="A119" s="195"/>
      <c r="B119" s="195"/>
      <c r="C119" s="301" t="s">
        <v>462</v>
      </c>
      <c r="D119" s="302" t="s">
        <v>463</v>
      </c>
      <c r="E119" s="311">
        <v>1083.82</v>
      </c>
      <c r="F119" s="311">
        <f t="shared" ref="F119:F124" si="4">E119</f>
        <v>1083.82</v>
      </c>
      <c r="G119" s="311"/>
      <c r="H119" s="311"/>
      <c r="I119" s="211">
        <f t="shared" si="3"/>
        <v>0</v>
      </c>
    </row>
    <row r="120" spans="1:9">
      <c r="A120" s="195"/>
      <c r="B120" s="195"/>
      <c r="C120" s="301" t="s">
        <v>170</v>
      </c>
      <c r="D120" s="302" t="s">
        <v>45</v>
      </c>
      <c r="E120" s="311">
        <v>3354.53</v>
      </c>
      <c r="F120" s="311">
        <f t="shared" si="4"/>
        <v>3354.53</v>
      </c>
      <c r="G120" s="311"/>
      <c r="H120" s="311"/>
      <c r="I120" s="211">
        <f t="shared" si="3"/>
        <v>0</v>
      </c>
    </row>
    <row r="121" spans="1:9">
      <c r="A121" s="195"/>
      <c r="B121" s="195"/>
      <c r="C121" s="301" t="s">
        <v>171</v>
      </c>
      <c r="D121" s="302" t="s">
        <v>163</v>
      </c>
      <c r="E121" s="311">
        <v>541.04999999999995</v>
      </c>
      <c r="F121" s="311">
        <f t="shared" si="4"/>
        <v>541.04999999999995</v>
      </c>
      <c r="G121" s="311"/>
      <c r="H121" s="311"/>
      <c r="I121" s="211">
        <f t="shared" si="3"/>
        <v>0</v>
      </c>
    </row>
    <row r="122" spans="1:9">
      <c r="A122" s="195"/>
      <c r="B122" s="195"/>
      <c r="C122" s="301" t="s">
        <v>172</v>
      </c>
      <c r="D122" s="302" t="s">
        <v>164</v>
      </c>
      <c r="E122" s="311">
        <v>2300</v>
      </c>
      <c r="F122" s="311">
        <f t="shared" si="4"/>
        <v>2300</v>
      </c>
      <c r="G122" s="311"/>
      <c r="H122" s="311"/>
      <c r="I122" s="211">
        <f t="shared" si="3"/>
        <v>0</v>
      </c>
    </row>
    <row r="123" spans="1:9">
      <c r="A123" s="195"/>
      <c r="B123" s="195"/>
      <c r="C123" s="301" t="s">
        <v>175</v>
      </c>
      <c r="D123" s="302" t="s">
        <v>25</v>
      </c>
      <c r="E123" s="311">
        <v>299.60000000000002</v>
      </c>
      <c r="F123" s="311">
        <f t="shared" si="4"/>
        <v>299.60000000000002</v>
      </c>
      <c r="G123" s="311"/>
      <c r="H123" s="311"/>
      <c r="I123" s="211">
        <f t="shared" si="3"/>
        <v>0</v>
      </c>
    </row>
    <row r="124" spans="1:9" ht="22.5">
      <c r="A124" s="195"/>
      <c r="B124" s="195"/>
      <c r="C124" s="301" t="s">
        <v>208</v>
      </c>
      <c r="D124" s="302" t="s">
        <v>186</v>
      </c>
      <c r="E124" s="311">
        <v>500</v>
      </c>
      <c r="F124" s="311">
        <f t="shared" si="4"/>
        <v>500</v>
      </c>
      <c r="G124" s="311"/>
      <c r="H124" s="311"/>
      <c r="I124" s="211">
        <f t="shared" si="3"/>
        <v>0</v>
      </c>
    </row>
    <row r="125" spans="1:9">
      <c r="A125" s="204"/>
      <c r="B125" s="204">
        <v>75075</v>
      </c>
      <c r="C125" s="239"/>
      <c r="D125" s="240" t="s">
        <v>209</v>
      </c>
      <c r="E125" s="313">
        <f>SUM(E126:E128)</f>
        <v>10100</v>
      </c>
      <c r="F125" s="313">
        <f>SUM(F126:F129)</f>
        <v>10100</v>
      </c>
      <c r="G125" s="313">
        <f>SUM(G126:G129)</f>
        <v>4000</v>
      </c>
      <c r="H125" s="313"/>
      <c r="I125" s="241">
        <f t="shared" si="3"/>
        <v>0.39603960396039606</v>
      </c>
    </row>
    <row r="126" spans="1:9">
      <c r="A126" s="195"/>
      <c r="B126" s="195"/>
      <c r="C126" s="217" t="s">
        <v>172</v>
      </c>
      <c r="D126" s="218" t="s">
        <v>164</v>
      </c>
      <c r="E126" s="311">
        <v>1000</v>
      </c>
      <c r="F126" s="311">
        <f>E126</f>
        <v>1000</v>
      </c>
      <c r="G126" s="311"/>
      <c r="H126" s="311"/>
      <c r="I126" s="211">
        <f t="shared" si="3"/>
        <v>0</v>
      </c>
    </row>
    <row r="127" spans="1:9">
      <c r="A127" s="195"/>
      <c r="B127" s="195"/>
      <c r="C127" s="217" t="s">
        <v>173</v>
      </c>
      <c r="D127" s="218" t="s">
        <v>11</v>
      </c>
      <c r="E127" s="311">
        <v>1400</v>
      </c>
      <c r="F127" s="311">
        <f>E127</f>
        <v>1400</v>
      </c>
      <c r="G127" s="311">
        <v>1000</v>
      </c>
      <c r="H127" s="311"/>
      <c r="I127" s="211">
        <f t="shared" si="3"/>
        <v>0.7142857142857143</v>
      </c>
    </row>
    <row r="128" spans="1:9">
      <c r="A128" s="195"/>
      <c r="B128" s="195"/>
      <c r="C128" s="217" t="s">
        <v>174</v>
      </c>
      <c r="D128" s="218" t="s">
        <v>13</v>
      </c>
      <c r="E128" s="311">
        <v>7700</v>
      </c>
      <c r="F128" s="311">
        <f>E128</f>
        <v>7700</v>
      </c>
      <c r="G128" s="311">
        <v>3000</v>
      </c>
      <c r="H128" s="311"/>
      <c r="I128" s="211">
        <f t="shared" si="3"/>
        <v>0.38961038961038963</v>
      </c>
    </row>
    <row r="129" spans="1:14" hidden="1">
      <c r="A129" s="195"/>
      <c r="B129" s="195"/>
      <c r="C129" s="217" t="s">
        <v>176</v>
      </c>
      <c r="D129" s="218" t="s">
        <v>26</v>
      </c>
      <c r="E129" s="319"/>
      <c r="F129" s="319"/>
      <c r="G129" s="319"/>
      <c r="H129" s="319"/>
      <c r="I129" s="211" t="e">
        <f t="shared" si="3"/>
        <v>#DIV/0!</v>
      </c>
    </row>
    <row r="130" spans="1:14">
      <c r="A130" s="204"/>
      <c r="B130" s="216">
        <v>75095</v>
      </c>
      <c r="C130" s="245"/>
      <c r="D130" s="246" t="s">
        <v>17</v>
      </c>
      <c r="E130" s="320">
        <f>SUM(E131:E136)</f>
        <v>126400</v>
      </c>
      <c r="F130" s="320">
        <f>SUM(F131:F136)</f>
        <v>112567</v>
      </c>
      <c r="G130" s="320">
        <f>SUM(G131:G136)</f>
        <v>114000</v>
      </c>
      <c r="H130" s="320"/>
      <c r="I130" s="241">
        <f t="shared" si="3"/>
        <v>1.0127301962386845</v>
      </c>
    </row>
    <row r="131" spans="1:14" ht="45">
      <c r="A131" s="247"/>
      <c r="B131" s="248"/>
      <c r="C131" s="249" t="s">
        <v>210</v>
      </c>
      <c r="D131" s="250" t="s">
        <v>211</v>
      </c>
      <c r="E131" s="311">
        <v>4000</v>
      </c>
      <c r="F131" s="311">
        <f>E131</f>
        <v>4000</v>
      </c>
      <c r="G131" s="311">
        <f>F131</f>
        <v>4000</v>
      </c>
      <c r="H131" s="311"/>
      <c r="I131" s="211">
        <f t="shared" si="3"/>
        <v>1</v>
      </c>
    </row>
    <row r="132" spans="1:14">
      <c r="A132" s="195"/>
      <c r="B132" s="214"/>
      <c r="C132" s="217" t="s">
        <v>191</v>
      </c>
      <c r="D132" s="218" t="s">
        <v>187</v>
      </c>
      <c r="E132" s="311">
        <v>91800</v>
      </c>
      <c r="F132" s="311">
        <f>E132</f>
        <v>91800</v>
      </c>
      <c r="G132" s="311">
        <v>93000</v>
      </c>
      <c r="H132" s="311"/>
      <c r="I132" s="211">
        <f t="shared" si="3"/>
        <v>1.0130718954248366</v>
      </c>
    </row>
    <row r="133" spans="1:14">
      <c r="A133" s="195"/>
      <c r="B133" s="214"/>
      <c r="C133" s="217" t="s">
        <v>172</v>
      </c>
      <c r="D133" s="218" t="s">
        <v>164</v>
      </c>
      <c r="E133" s="311">
        <v>324</v>
      </c>
      <c r="F133" s="311">
        <f>E133</f>
        <v>324</v>
      </c>
      <c r="G133" s="311">
        <v>0</v>
      </c>
      <c r="H133" s="311"/>
      <c r="I133" s="211">
        <f t="shared" si="3"/>
        <v>0</v>
      </c>
    </row>
    <row r="134" spans="1:14">
      <c r="A134" s="195"/>
      <c r="B134" s="214"/>
      <c r="C134" s="217" t="s">
        <v>173</v>
      </c>
      <c r="D134" s="218" t="s">
        <v>11</v>
      </c>
      <c r="E134" s="311">
        <v>276</v>
      </c>
      <c r="F134" s="311">
        <f>E134</f>
        <v>276</v>
      </c>
      <c r="G134" s="311">
        <v>0</v>
      </c>
      <c r="H134" s="311"/>
      <c r="I134" s="211">
        <f t="shared" si="3"/>
        <v>0</v>
      </c>
    </row>
    <row r="135" spans="1:14">
      <c r="A135" s="195"/>
      <c r="B135" s="197"/>
      <c r="C135" s="217" t="s">
        <v>174</v>
      </c>
      <c r="D135" s="218" t="s">
        <v>13</v>
      </c>
      <c r="E135" s="311">
        <v>16000</v>
      </c>
      <c r="F135" s="311">
        <v>5000</v>
      </c>
      <c r="G135" s="311">
        <v>4000</v>
      </c>
      <c r="H135" s="311"/>
      <c r="I135" s="211">
        <f t="shared" si="3"/>
        <v>0.8</v>
      </c>
    </row>
    <row r="136" spans="1:14">
      <c r="A136" s="195"/>
      <c r="B136" s="197"/>
      <c r="C136" s="217" t="s">
        <v>176</v>
      </c>
      <c r="D136" s="218" t="s">
        <v>26</v>
      </c>
      <c r="E136" s="311">
        <v>14000</v>
      </c>
      <c r="F136" s="311">
        <v>11167</v>
      </c>
      <c r="G136" s="311">
        <v>13000</v>
      </c>
      <c r="H136" s="311"/>
      <c r="I136" s="211">
        <f t="shared" si="3"/>
        <v>1.1641443538998837</v>
      </c>
    </row>
    <row r="137" spans="1:14" ht="33.75">
      <c r="A137" s="199">
        <v>751</v>
      </c>
      <c r="B137" s="200"/>
      <c r="C137" s="228"/>
      <c r="D137" s="201" t="s">
        <v>212</v>
      </c>
      <c r="E137" s="312">
        <f>E138+E142</f>
        <v>27285</v>
      </c>
      <c r="F137" s="312">
        <f>F138+F142</f>
        <v>26346.2</v>
      </c>
      <c r="G137" s="312">
        <f>G138+G142</f>
        <v>1454.9999999999998</v>
      </c>
      <c r="H137" s="312"/>
      <c r="I137" s="282">
        <f t="shared" si="3"/>
        <v>5.5226180625668968E-2</v>
      </c>
    </row>
    <row r="138" spans="1:14" ht="22.5">
      <c r="A138" s="238"/>
      <c r="B138" s="216">
        <v>75101</v>
      </c>
      <c r="C138" s="239"/>
      <c r="D138" s="240" t="s">
        <v>213</v>
      </c>
      <c r="E138" s="313">
        <f>SUM(E139:E141)</f>
        <v>1454.9999999999998</v>
      </c>
      <c r="F138" s="313">
        <f>SUM(F139:F141)</f>
        <v>1454.9999999999998</v>
      </c>
      <c r="G138" s="313">
        <f>SUM(G139:G141)</f>
        <v>1454.9999999999998</v>
      </c>
      <c r="H138" s="313"/>
      <c r="I138" s="241">
        <f t="shared" si="3"/>
        <v>1</v>
      </c>
    </row>
    <row r="139" spans="1:14">
      <c r="A139" s="195"/>
      <c r="B139" s="195"/>
      <c r="C139" s="217" t="s">
        <v>197</v>
      </c>
      <c r="D139" s="218" t="s">
        <v>184</v>
      </c>
      <c r="E139" s="311">
        <v>1236.83</v>
      </c>
      <c r="F139" s="311">
        <f t="shared" ref="F139:G141" si="5">E139</f>
        <v>1236.83</v>
      </c>
      <c r="G139" s="311">
        <f t="shared" si="5"/>
        <v>1236.83</v>
      </c>
      <c r="H139" s="311"/>
      <c r="I139" s="211">
        <f t="shared" si="3"/>
        <v>1</v>
      </c>
    </row>
    <row r="140" spans="1:14">
      <c r="A140" s="195"/>
      <c r="B140" s="195"/>
      <c r="C140" s="217" t="s">
        <v>170</v>
      </c>
      <c r="D140" s="218" t="s">
        <v>45</v>
      </c>
      <c r="E140" s="311">
        <v>187.87</v>
      </c>
      <c r="F140" s="311">
        <f t="shared" si="5"/>
        <v>187.87</v>
      </c>
      <c r="G140" s="311">
        <f t="shared" si="5"/>
        <v>187.87</v>
      </c>
      <c r="H140" s="311"/>
      <c r="I140" s="211">
        <f t="shared" si="3"/>
        <v>1</v>
      </c>
    </row>
    <row r="141" spans="1:14">
      <c r="A141" s="195"/>
      <c r="B141" s="195"/>
      <c r="C141" s="217" t="s">
        <v>171</v>
      </c>
      <c r="D141" s="218" t="s">
        <v>163</v>
      </c>
      <c r="E141" s="311">
        <v>30.3</v>
      </c>
      <c r="F141" s="311">
        <f t="shared" si="5"/>
        <v>30.3</v>
      </c>
      <c r="G141" s="311">
        <f t="shared" si="5"/>
        <v>30.3</v>
      </c>
      <c r="H141" s="311"/>
      <c r="I141" s="211">
        <f t="shared" si="3"/>
        <v>1</v>
      </c>
    </row>
    <row r="142" spans="1:14" s="193" customFormat="1">
      <c r="A142" s="204"/>
      <c r="B142" s="216">
        <v>75107</v>
      </c>
      <c r="C142" s="229"/>
      <c r="D142" s="205" t="s">
        <v>420</v>
      </c>
      <c r="E142" s="313">
        <f>SUM(E143:E151)</f>
        <v>25830</v>
      </c>
      <c r="F142" s="313">
        <f>SUM(F143:F151)</f>
        <v>24891.200000000001</v>
      </c>
      <c r="G142" s="313">
        <f>SUM(G143:G151)</f>
        <v>0</v>
      </c>
      <c r="H142" s="313"/>
      <c r="I142" s="241">
        <f t="shared" si="3"/>
        <v>0</v>
      </c>
      <c r="M142" s="207"/>
      <c r="N142" s="207"/>
    </row>
    <row r="143" spans="1:14">
      <c r="A143" s="195"/>
      <c r="B143" s="195"/>
      <c r="C143" s="217" t="s">
        <v>191</v>
      </c>
      <c r="D143" s="218" t="s">
        <v>187</v>
      </c>
      <c r="E143" s="311">
        <v>14074</v>
      </c>
      <c r="F143" s="311">
        <v>13938.9</v>
      </c>
      <c r="G143" s="311"/>
      <c r="H143" s="311"/>
      <c r="I143" s="211">
        <f t="shared" si="3"/>
        <v>0</v>
      </c>
    </row>
    <row r="144" spans="1:14">
      <c r="A144" s="195"/>
      <c r="B144" s="195"/>
      <c r="C144" s="217" t="s">
        <v>170</v>
      </c>
      <c r="D144" s="218" t="s">
        <v>45</v>
      </c>
      <c r="E144" s="311">
        <v>527</v>
      </c>
      <c r="F144" s="311">
        <v>526.34</v>
      </c>
      <c r="G144" s="311"/>
      <c r="H144" s="311"/>
      <c r="I144" s="211">
        <f t="shared" ref="I144:I210" si="6">G144/F144</f>
        <v>0</v>
      </c>
    </row>
    <row r="145" spans="1:14">
      <c r="A145" s="195"/>
      <c r="B145" s="195"/>
      <c r="C145" s="217" t="s">
        <v>171</v>
      </c>
      <c r="D145" s="218" t="s">
        <v>163</v>
      </c>
      <c r="E145" s="311">
        <v>85</v>
      </c>
      <c r="F145" s="311">
        <v>84.9</v>
      </c>
      <c r="G145" s="311"/>
      <c r="H145" s="311"/>
      <c r="I145" s="211">
        <f t="shared" si="6"/>
        <v>0</v>
      </c>
    </row>
    <row r="146" spans="1:14">
      <c r="A146" s="195"/>
      <c r="B146" s="195"/>
      <c r="C146" s="217" t="s">
        <v>172</v>
      </c>
      <c r="D146" s="218" t="s">
        <v>164</v>
      </c>
      <c r="E146" s="311">
        <v>6233</v>
      </c>
      <c r="F146" s="311">
        <v>5705</v>
      </c>
      <c r="G146" s="311"/>
      <c r="H146" s="311"/>
      <c r="I146" s="211">
        <f t="shared" si="6"/>
        <v>0</v>
      </c>
    </row>
    <row r="147" spans="1:14">
      <c r="A147" s="195"/>
      <c r="B147" s="195"/>
      <c r="C147" s="217" t="s">
        <v>173</v>
      </c>
      <c r="D147" s="218" t="s">
        <v>11</v>
      </c>
      <c r="E147" s="311">
        <v>3492</v>
      </c>
      <c r="F147" s="311">
        <v>3413.13</v>
      </c>
      <c r="G147" s="311"/>
      <c r="H147" s="311"/>
      <c r="I147" s="211">
        <f t="shared" si="6"/>
        <v>0</v>
      </c>
    </row>
    <row r="148" spans="1:14">
      <c r="A148" s="195"/>
      <c r="B148" s="195"/>
      <c r="C148" s="217" t="s">
        <v>174</v>
      </c>
      <c r="D148" s="218" t="s">
        <v>13</v>
      </c>
      <c r="E148" s="311">
        <v>135</v>
      </c>
      <c r="F148" s="311">
        <v>0</v>
      </c>
      <c r="G148" s="311"/>
      <c r="H148" s="311"/>
      <c r="I148" s="211" t="e">
        <f t="shared" si="6"/>
        <v>#DIV/0!</v>
      </c>
    </row>
    <row r="149" spans="1:14" ht="22.5">
      <c r="A149" s="195"/>
      <c r="B149" s="195"/>
      <c r="C149" s="217" t="s">
        <v>192</v>
      </c>
      <c r="D149" s="218" t="s">
        <v>188</v>
      </c>
      <c r="E149" s="311">
        <v>50</v>
      </c>
      <c r="F149" s="311">
        <v>50</v>
      </c>
      <c r="G149" s="311"/>
      <c r="H149" s="311"/>
      <c r="I149" s="211">
        <f t="shared" si="6"/>
        <v>0</v>
      </c>
    </row>
    <row r="150" spans="1:14">
      <c r="A150" s="195"/>
      <c r="B150" s="195"/>
      <c r="C150" s="217" t="s">
        <v>175</v>
      </c>
      <c r="D150" s="218" t="s">
        <v>25</v>
      </c>
      <c r="E150" s="311">
        <v>928</v>
      </c>
      <c r="F150" s="311">
        <v>927.71</v>
      </c>
      <c r="G150" s="311"/>
      <c r="H150" s="311"/>
      <c r="I150" s="211">
        <f t="shared" si="6"/>
        <v>0</v>
      </c>
    </row>
    <row r="151" spans="1:14" ht="22.5">
      <c r="A151" s="195"/>
      <c r="B151" s="195"/>
      <c r="C151" s="217" t="s">
        <v>194</v>
      </c>
      <c r="D151" s="218" t="s">
        <v>190</v>
      </c>
      <c r="E151" s="311">
        <v>306</v>
      </c>
      <c r="F151" s="311">
        <v>245.22</v>
      </c>
      <c r="G151" s="319"/>
      <c r="H151" s="319"/>
      <c r="I151" s="211">
        <f t="shared" si="6"/>
        <v>0</v>
      </c>
    </row>
    <row r="152" spans="1:14" hidden="1">
      <c r="A152" s="199">
        <v>752</v>
      </c>
      <c r="B152" s="200"/>
      <c r="C152" s="228"/>
      <c r="D152" s="201" t="s">
        <v>214</v>
      </c>
      <c r="E152" s="312">
        <f>E153</f>
        <v>0</v>
      </c>
      <c r="F152" s="312">
        <f>F153</f>
        <v>0</v>
      </c>
      <c r="G152" s="312">
        <f>G153</f>
        <v>0</v>
      </c>
      <c r="H152" s="312"/>
      <c r="I152" s="211" t="e">
        <f t="shared" si="6"/>
        <v>#DIV/0!</v>
      </c>
    </row>
    <row r="153" spans="1:14" hidden="1">
      <c r="A153" s="238"/>
      <c r="B153" s="216">
        <v>75212</v>
      </c>
      <c r="C153" s="239"/>
      <c r="D153" s="240" t="s">
        <v>35</v>
      </c>
      <c r="E153" s="313">
        <f>SUM(E154:E154)</f>
        <v>0</v>
      </c>
      <c r="F153" s="313">
        <f>SUM(F154:F154)</f>
        <v>0</v>
      </c>
      <c r="G153" s="313">
        <f>SUM(G154:G154)</f>
        <v>0</v>
      </c>
      <c r="H153" s="313"/>
      <c r="I153" s="211" t="e">
        <f t="shared" si="6"/>
        <v>#DIV/0!</v>
      </c>
    </row>
    <row r="154" spans="1:14" hidden="1">
      <c r="A154" s="195"/>
      <c r="B154" s="197"/>
      <c r="C154" s="217" t="s">
        <v>173</v>
      </c>
      <c r="D154" s="218" t="s">
        <v>11</v>
      </c>
      <c r="E154" s="311"/>
      <c r="F154" s="311"/>
      <c r="G154" s="311"/>
      <c r="H154" s="311"/>
      <c r="I154" s="211" t="e">
        <f t="shared" si="6"/>
        <v>#DIV/0!</v>
      </c>
    </row>
    <row r="155" spans="1:14" ht="12">
      <c r="A155" s="398">
        <v>752</v>
      </c>
      <c r="B155" s="399"/>
      <c r="C155" s="400"/>
      <c r="D155" s="201" t="s">
        <v>214</v>
      </c>
      <c r="E155" s="401">
        <f t="shared" ref="E155:J156" si="7">SUM(E156)</f>
        <v>0</v>
      </c>
      <c r="F155" s="401">
        <f t="shared" si="7"/>
        <v>0</v>
      </c>
      <c r="G155" s="401">
        <f t="shared" si="7"/>
        <v>200</v>
      </c>
      <c r="H155" s="402">
        <f t="shared" si="7"/>
        <v>0</v>
      </c>
      <c r="I155" s="402">
        <f t="shared" si="7"/>
        <v>0</v>
      </c>
      <c r="J155" s="392">
        <f t="shared" si="7"/>
        <v>0</v>
      </c>
    </row>
    <row r="156" spans="1:14" ht="12">
      <c r="A156" s="394"/>
      <c r="B156" s="395">
        <v>75212</v>
      </c>
      <c r="C156" s="394"/>
      <c r="D156" s="240" t="s">
        <v>35</v>
      </c>
      <c r="E156" s="396">
        <f t="shared" si="7"/>
        <v>0</v>
      </c>
      <c r="F156" s="396">
        <f t="shared" si="7"/>
        <v>0</v>
      </c>
      <c r="G156" s="396">
        <f t="shared" si="7"/>
        <v>200</v>
      </c>
      <c r="H156" s="397">
        <f t="shared" si="7"/>
        <v>0</v>
      </c>
      <c r="I156" s="397">
        <f t="shared" si="7"/>
        <v>0</v>
      </c>
      <c r="J156" s="393">
        <f t="shared" si="7"/>
        <v>0</v>
      </c>
    </row>
    <row r="157" spans="1:14">
      <c r="A157" s="195"/>
      <c r="B157" s="197"/>
      <c r="C157" s="217" t="s">
        <v>173</v>
      </c>
      <c r="D157" s="218" t="s">
        <v>11</v>
      </c>
      <c r="E157" s="311"/>
      <c r="F157" s="311"/>
      <c r="G157" s="311">
        <v>200</v>
      </c>
      <c r="H157" s="311"/>
      <c r="I157" s="211"/>
    </row>
    <row r="158" spans="1:14" ht="22.5">
      <c r="A158" s="199">
        <v>754</v>
      </c>
      <c r="B158" s="200"/>
      <c r="C158" s="228"/>
      <c r="D158" s="201" t="s">
        <v>215</v>
      </c>
      <c r="E158" s="312">
        <f>E159+E162+E177+E180</f>
        <v>466847</v>
      </c>
      <c r="F158" s="312">
        <f>F159+F162+F177+F180</f>
        <v>399823.37</v>
      </c>
      <c r="G158" s="312">
        <f>G159+G162+G177+G180</f>
        <v>151150</v>
      </c>
      <c r="H158" s="312"/>
      <c r="I158" s="282">
        <f t="shared" si="6"/>
        <v>0.37804193386694729</v>
      </c>
    </row>
    <row r="159" spans="1:14" s="193" customFormat="1">
      <c r="A159" s="203"/>
      <c r="B159" s="216">
        <v>75404</v>
      </c>
      <c r="C159" s="229"/>
      <c r="D159" s="205" t="s">
        <v>216</v>
      </c>
      <c r="E159" s="313">
        <f>E160+E161</f>
        <v>35000</v>
      </c>
      <c r="F159" s="313">
        <f>SUM(F160:F161)</f>
        <v>32000</v>
      </c>
      <c r="G159" s="313">
        <f>SUM(G160:G161)</f>
        <v>8000</v>
      </c>
      <c r="H159" s="313"/>
      <c r="I159" s="211">
        <f t="shared" si="6"/>
        <v>0.25</v>
      </c>
      <c r="M159" s="207"/>
      <c r="N159" s="207"/>
    </row>
    <row r="160" spans="1:14">
      <c r="A160" s="251"/>
      <c r="B160" s="252"/>
      <c r="C160" s="253" t="s">
        <v>308</v>
      </c>
      <c r="D160" s="232" t="s">
        <v>309</v>
      </c>
      <c r="E160" s="311">
        <v>15000</v>
      </c>
      <c r="F160" s="311">
        <v>12000</v>
      </c>
      <c r="G160" s="311">
        <v>8000</v>
      </c>
      <c r="H160" s="311"/>
      <c r="I160" s="211">
        <f t="shared" si="6"/>
        <v>0.66666666666666663</v>
      </c>
    </row>
    <row r="161" spans="1:14" ht="33.75">
      <c r="A161" s="233"/>
      <c r="B161" s="195"/>
      <c r="C161" s="217" t="s">
        <v>353</v>
      </c>
      <c r="D161" s="218" t="s">
        <v>354</v>
      </c>
      <c r="E161" s="311">
        <v>20000</v>
      </c>
      <c r="F161" s="311">
        <v>20000</v>
      </c>
      <c r="G161" s="311">
        <v>0</v>
      </c>
      <c r="H161" s="311"/>
      <c r="I161" s="211">
        <f t="shared" si="6"/>
        <v>0</v>
      </c>
    </row>
    <row r="162" spans="1:14" s="257" customFormat="1" ht="12.75" customHeight="1">
      <c r="A162" s="254"/>
      <c r="B162" s="255">
        <v>75412</v>
      </c>
      <c r="C162" s="229"/>
      <c r="D162" s="205" t="s">
        <v>36</v>
      </c>
      <c r="E162" s="320">
        <f>SUM(E163:E176)</f>
        <v>169470</v>
      </c>
      <c r="F162" s="320">
        <f>SUM(F163:F176)</f>
        <v>157370</v>
      </c>
      <c r="G162" s="320">
        <f>SUM(G163:G176)</f>
        <v>142150</v>
      </c>
      <c r="H162" s="320">
        <f>SUM(H163:H176)</f>
        <v>29700</v>
      </c>
      <c r="I162" s="241">
        <f t="shared" si="6"/>
        <v>0.90328525131854864</v>
      </c>
      <c r="J162" s="256"/>
      <c r="M162" s="258"/>
      <c r="N162" s="258"/>
    </row>
    <row r="163" spans="1:14" s="257" customFormat="1" ht="33" customHeight="1">
      <c r="A163" s="308"/>
      <c r="B163" s="309"/>
      <c r="C163" s="301" t="s">
        <v>394</v>
      </c>
      <c r="D163" s="302" t="s">
        <v>395</v>
      </c>
      <c r="E163" s="311">
        <v>1500</v>
      </c>
      <c r="F163" s="311">
        <v>1500</v>
      </c>
      <c r="G163" s="311"/>
      <c r="H163" s="311"/>
      <c r="I163" s="211">
        <f t="shared" si="6"/>
        <v>0</v>
      </c>
      <c r="J163" s="256"/>
      <c r="M163" s="258"/>
      <c r="N163" s="258"/>
    </row>
    <row r="164" spans="1:14">
      <c r="A164" s="233"/>
      <c r="B164" s="197"/>
      <c r="C164" s="217" t="s">
        <v>195</v>
      </c>
      <c r="D164" s="218" t="s">
        <v>196</v>
      </c>
      <c r="E164" s="311">
        <v>20250</v>
      </c>
      <c r="F164" s="311">
        <v>16000</v>
      </c>
      <c r="G164" s="311">
        <v>20000</v>
      </c>
      <c r="H164" s="311"/>
      <c r="I164" s="211">
        <f t="shared" si="6"/>
        <v>1.25</v>
      </c>
      <c r="J164" s="244"/>
      <c r="L164" s="192">
        <f>E162-E176</f>
        <v>159970</v>
      </c>
      <c r="M164" s="192">
        <f>F162-F176</f>
        <v>150370</v>
      </c>
      <c r="N164" s="191">
        <f>M164/L164</f>
        <v>0.93998874789022946</v>
      </c>
    </row>
    <row r="165" spans="1:14">
      <c r="A165" s="233"/>
      <c r="B165" s="197"/>
      <c r="C165" s="217" t="s">
        <v>170</v>
      </c>
      <c r="D165" s="218" t="s">
        <v>45</v>
      </c>
      <c r="E165" s="311">
        <v>800</v>
      </c>
      <c r="F165" s="311">
        <f>E165</f>
        <v>800</v>
      </c>
      <c r="G165" s="311">
        <v>870</v>
      </c>
      <c r="H165" s="311"/>
      <c r="I165" s="211">
        <f t="shared" si="6"/>
        <v>1.0874999999999999</v>
      </c>
    </row>
    <row r="166" spans="1:14">
      <c r="A166" s="233"/>
      <c r="B166" s="197"/>
      <c r="C166" s="217" t="s">
        <v>171</v>
      </c>
      <c r="D166" s="218" t="s">
        <v>163</v>
      </c>
      <c r="E166" s="311">
        <v>120</v>
      </c>
      <c r="F166" s="311">
        <f t="shared" ref="F166:F175" si="8">E166</f>
        <v>120</v>
      </c>
      <c r="G166" s="311">
        <v>130</v>
      </c>
      <c r="H166" s="311"/>
      <c r="I166" s="211">
        <f t="shared" si="6"/>
        <v>1.0833333333333333</v>
      </c>
      <c r="M166" s="192">
        <f>F165+F166+F167</f>
        <v>31720</v>
      </c>
    </row>
    <row r="167" spans="1:14">
      <c r="A167" s="233"/>
      <c r="B167" s="197"/>
      <c r="C167" s="217" t="s">
        <v>172</v>
      </c>
      <c r="D167" s="218" t="s">
        <v>164</v>
      </c>
      <c r="E167" s="311">
        <v>30800</v>
      </c>
      <c r="F167" s="311">
        <f t="shared" si="8"/>
        <v>30800</v>
      </c>
      <c r="G167" s="311">
        <v>31000</v>
      </c>
      <c r="H167" s="311"/>
      <c r="I167" s="211">
        <f t="shared" si="6"/>
        <v>1.0064935064935066</v>
      </c>
      <c r="M167" s="192">
        <f>F165+F166</f>
        <v>920</v>
      </c>
    </row>
    <row r="168" spans="1:14" s="212" customFormat="1">
      <c r="A168" s="233"/>
      <c r="B168" s="197"/>
      <c r="C168" s="217" t="s">
        <v>173</v>
      </c>
      <c r="D168" s="218" t="s">
        <v>11</v>
      </c>
      <c r="E168" s="311">
        <v>58350</v>
      </c>
      <c r="F168" s="311">
        <v>54000</v>
      </c>
      <c r="G168" s="311">
        <v>48000</v>
      </c>
      <c r="H168" s="358">
        <v>4200</v>
      </c>
      <c r="I168" s="211">
        <f t="shared" si="6"/>
        <v>0.88888888888888884</v>
      </c>
      <c r="M168" s="213"/>
      <c r="N168" s="213"/>
    </row>
    <row r="169" spans="1:14">
      <c r="A169" s="233"/>
      <c r="B169" s="197"/>
      <c r="C169" s="217" t="s">
        <v>181</v>
      </c>
      <c r="D169" s="218" t="s">
        <v>24</v>
      </c>
      <c r="E169" s="311">
        <v>17500</v>
      </c>
      <c r="F169" s="311">
        <f t="shared" si="8"/>
        <v>17500</v>
      </c>
      <c r="G169" s="311">
        <v>18500</v>
      </c>
      <c r="H169" s="358">
        <f>G169</f>
        <v>18500</v>
      </c>
      <c r="I169" s="211">
        <f t="shared" si="6"/>
        <v>1.0571428571428572</v>
      </c>
    </row>
    <row r="170" spans="1:14">
      <c r="A170" s="233"/>
      <c r="B170" s="197"/>
      <c r="C170" s="217" t="s">
        <v>179</v>
      </c>
      <c r="D170" s="218" t="s">
        <v>21</v>
      </c>
      <c r="E170" s="311">
        <v>11500</v>
      </c>
      <c r="F170" s="311">
        <f t="shared" si="8"/>
        <v>11500</v>
      </c>
      <c r="G170" s="311">
        <v>6000</v>
      </c>
      <c r="H170" s="358">
        <v>7000</v>
      </c>
      <c r="I170" s="211">
        <f t="shared" si="6"/>
        <v>0.52173913043478259</v>
      </c>
    </row>
    <row r="171" spans="1:14">
      <c r="A171" s="233"/>
      <c r="B171" s="197"/>
      <c r="C171" s="301" t="s">
        <v>201</v>
      </c>
      <c r="D171" s="302" t="s">
        <v>37</v>
      </c>
      <c r="E171" s="311">
        <v>3800</v>
      </c>
      <c r="F171" s="311">
        <f t="shared" si="8"/>
        <v>3800</v>
      </c>
      <c r="G171" s="311">
        <v>3500</v>
      </c>
      <c r="H171" s="311"/>
      <c r="I171" s="211">
        <f t="shared" si="6"/>
        <v>0.92105263157894735</v>
      </c>
    </row>
    <row r="172" spans="1:14" s="212" customFormat="1">
      <c r="A172" s="233"/>
      <c r="B172" s="197"/>
      <c r="C172" s="217" t="s">
        <v>174</v>
      </c>
      <c r="D172" s="218" t="s">
        <v>13</v>
      </c>
      <c r="E172" s="311">
        <v>7500</v>
      </c>
      <c r="F172" s="311">
        <v>6500</v>
      </c>
      <c r="G172" s="311">
        <v>6000</v>
      </c>
      <c r="H172" s="311"/>
      <c r="I172" s="211">
        <f t="shared" si="6"/>
        <v>0.92307692307692313</v>
      </c>
      <c r="M172" s="213">
        <f>F172+F170</f>
        <v>18000</v>
      </c>
      <c r="N172" s="213"/>
    </row>
    <row r="173" spans="1:14" s="212" customFormat="1" ht="33.75">
      <c r="A173" s="233"/>
      <c r="B173" s="197"/>
      <c r="C173" s="301" t="s">
        <v>192</v>
      </c>
      <c r="D173" s="302" t="s">
        <v>398</v>
      </c>
      <c r="E173" s="311">
        <v>350</v>
      </c>
      <c r="F173" s="311">
        <f t="shared" si="8"/>
        <v>350</v>
      </c>
      <c r="G173" s="311">
        <v>350</v>
      </c>
      <c r="H173" s="311"/>
      <c r="I173" s="211">
        <f t="shared" si="6"/>
        <v>1</v>
      </c>
      <c r="M173" s="213"/>
      <c r="N173" s="213"/>
    </row>
    <row r="174" spans="1:14" s="212" customFormat="1">
      <c r="A174" s="233"/>
      <c r="B174" s="197"/>
      <c r="C174" s="217" t="s">
        <v>175</v>
      </c>
      <c r="D174" s="218" t="s">
        <v>25</v>
      </c>
      <c r="E174" s="311">
        <v>1000</v>
      </c>
      <c r="F174" s="311">
        <f t="shared" si="8"/>
        <v>1000</v>
      </c>
      <c r="G174" s="311">
        <v>1000</v>
      </c>
      <c r="H174" s="311"/>
      <c r="I174" s="211">
        <f t="shared" si="6"/>
        <v>1</v>
      </c>
      <c r="M174" s="213"/>
      <c r="N174" s="213"/>
    </row>
    <row r="175" spans="1:14" s="212" customFormat="1">
      <c r="A175" s="233"/>
      <c r="B175" s="197"/>
      <c r="C175" s="217" t="s">
        <v>176</v>
      </c>
      <c r="D175" s="218" t="s">
        <v>26</v>
      </c>
      <c r="E175" s="311">
        <v>6500</v>
      </c>
      <c r="F175" s="311">
        <f t="shared" si="8"/>
        <v>6500</v>
      </c>
      <c r="G175" s="311">
        <v>6800</v>
      </c>
      <c r="H175" s="311"/>
      <c r="I175" s="211">
        <f t="shared" si="6"/>
        <v>1.0461538461538462</v>
      </c>
      <c r="M175" s="213"/>
      <c r="N175" s="213"/>
    </row>
    <row r="176" spans="1:14" ht="22.5">
      <c r="A176" s="233"/>
      <c r="B176" s="197"/>
      <c r="C176" s="217" t="s">
        <v>182</v>
      </c>
      <c r="D176" s="218" t="s">
        <v>34</v>
      </c>
      <c r="E176" s="311">
        <v>9500</v>
      </c>
      <c r="F176" s="311">
        <v>7000</v>
      </c>
      <c r="G176" s="311"/>
      <c r="H176" s="311"/>
      <c r="I176" s="211">
        <f t="shared" si="6"/>
        <v>0</v>
      </c>
    </row>
    <row r="177" spans="1:14">
      <c r="A177" s="204"/>
      <c r="B177" s="216">
        <v>75414</v>
      </c>
      <c r="C177" s="204"/>
      <c r="D177" s="259" t="s">
        <v>38</v>
      </c>
      <c r="E177" s="313">
        <f>SUM(E178)</f>
        <v>1000</v>
      </c>
      <c r="F177" s="313">
        <f>SUM(F178:F179)</f>
        <v>1000</v>
      </c>
      <c r="G177" s="313">
        <f>SUM(G178:G179)</f>
        <v>1000</v>
      </c>
      <c r="H177" s="313"/>
      <c r="I177" s="241">
        <f t="shared" si="6"/>
        <v>1</v>
      </c>
    </row>
    <row r="178" spans="1:14">
      <c r="A178" s="195"/>
      <c r="B178" s="195"/>
      <c r="C178" s="214">
        <v>4210</v>
      </c>
      <c r="D178" s="195" t="s">
        <v>13</v>
      </c>
      <c r="E178" s="311">
        <v>1000</v>
      </c>
      <c r="F178" s="311">
        <f>E178</f>
        <v>1000</v>
      </c>
      <c r="G178" s="311">
        <f>F178</f>
        <v>1000</v>
      </c>
      <c r="H178" s="311"/>
      <c r="I178" s="211">
        <f t="shared" si="6"/>
        <v>1</v>
      </c>
      <c r="L178" s="192"/>
    </row>
    <row r="179" spans="1:14" ht="22.5" hidden="1">
      <c r="A179" s="260"/>
      <c r="B179" s="260"/>
      <c r="C179" s="261" t="s">
        <v>182</v>
      </c>
      <c r="D179" s="262" t="s">
        <v>34</v>
      </c>
      <c r="E179" s="321"/>
      <c r="F179" s="321"/>
      <c r="G179" s="321"/>
      <c r="H179" s="321"/>
      <c r="I179" s="211" t="e">
        <f t="shared" si="6"/>
        <v>#DIV/0!</v>
      </c>
    </row>
    <row r="180" spans="1:14">
      <c r="A180" s="204"/>
      <c r="B180" s="216">
        <v>75478</v>
      </c>
      <c r="C180" s="204"/>
      <c r="D180" s="310" t="s">
        <v>54</v>
      </c>
      <c r="E180" s="313">
        <f>SUM(E181:E185)</f>
        <v>261377</v>
      </c>
      <c r="F180" s="313">
        <f>SUM(F181:F185)</f>
        <v>209453.37000000002</v>
      </c>
      <c r="G180" s="313">
        <f>SUM(G181:G185)</f>
        <v>0</v>
      </c>
      <c r="H180" s="313"/>
      <c r="I180" s="241">
        <f t="shared" si="6"/>
        <v>0</v>
      </c>
    </row>
    <row r="181" spans="1:14">
      <c r="A181" s="231"/>
      <c r="B181" s="220"/>
      <c r="C181" s="301" t="s">
        <v>195</v>
      </c>
      <c r="D181" s="302" t="s">
        <v>196</v>
      </c>
      <c r="E181" s="311">
        <v>51195</v>
      </c>
      <c r="F181" s="311">
        <v>51195</v>
      </c>
      <c r="G181" s="311"/>
      <c r="H181" s="311"/>
      <c r="I181" s="211">
        <f t="shared" si="6"/>
        <v>0</v>
      </c>
    </row>
    <row r="182" spans="1:14">
      <c r="A182" s="195"/>
      <c r="B182" s="195"/>
      <c r="C182" s="217" t="s">
        <v>173</v>
      </c>
      <c r="D182" s="218" t="s">
        <v>11</v>
      </c>
      <c r="E182" s="311">
        <v>94482</v>
      </c>
      <c r="F182" s="311">
        <v>67212.710000000006</v>
      </c>
      <c r="G182" s="311"/>
      <c r="H182" s="311"/>
      <c r="I182" s="211">
        <f t="shared" si="6"/>
        <v>0</v>
      </c>
    </row>
    <row r="183" spans="1:14">
      <c r="A183" s="195"/>
      <c r="B183" s="195"/>
      <c r="C183" s="301" t="s">
        <v>399</v>
      </c>
      <c r="D183" s="302" t="s">
        <v>400</v>
      </c>
      <c r="E183" s="311">
        <v>6500</v>
      </c>
      <c r="F183" s="311">
        <v>6033.93</v>
      </c>
      <c r="G183" s="311"/>
      <c r="H183" s="311"/>
      <c r="I183" s="211">
        <f t="shared" si="6"/>
        <v>0</v>
      </c>
    </row>
    <row r="184" spans="1:14">
      <c r="A184" s="195"/>
      <c r="B184" s="195"/>
      <c r="C184" s="217" t="s">
        <v>174</v>
      </c>
      <c r="D184" s="218" t="s">
        <v>13</v>
      </c>
      <c r="E184" s="311">
        <v>104000</v>
      </c>
      <c r="F184" s="311">
        <v>80431.16</v>
      </c>
      <c r="G184" s="311"/>
      <c r="H184" s="311"/>
      <c r="I184" s="211">
        <f t="shared" si="6"/>
        <v>0</v>
      </c>
    </row>
    <row r="185" spans="1:14">
      <c r="A185" s="195"/>
      <c r="B185" s="195"/>
      <c r="C185" s="217" t="s">
        <v>175</v>
      </c>
      <c r="D185" s="218" t="s">
        <v>25</v>
      </c>
      <c r="E185" s="311">
        <v>5200</v>
      </c>
      <c r="F185" s="311">
        <v>4580.57</v>
      </c>
      <c r="G185" s="311"/>
      <c r="H185" s="311"/>
      <c r="I185" s="211">
        <f t="shared" si="6"/>
        <v>0</v>
      </c>
    </row>
    <row r="186" spans="1:14" ht="45">
      <c r="A186" s="263">
        <v>756</v>
      </c>
      <c r="B186" s="264"/>
      <c r="C186" s="265"/>
      <c r="D186" s="266" t="s">
        <v>217</v>
      </c>
      <c r="E186" s="322">
        <f>E187</f>
        <v>67100</v>
      </c>
      <c r="F186" s="322">
        <f>F187</f>
        <v>51335</v>
      </c>
      <c r="G186" s="322">
        <f>G187</f>
        <v>56500</v>
      </c>
      <c r="H186" s="322"/>
      <c r="I186" s="282">
        <f t="shared" si="6"/>
        <v>1.1006136164410247</v>
      </c>
    </row>
    <row r="187" spans="1:14" ht="22.5">
      <c r="A187" s="216"/>
      <c r="B187" s="216">
        <v>75647</v>
      </c>
      <c r="C187" s="216"/>
      <c r="D187" s="205" t="s">
        <v>218</v>
      </c>
      <c r="E187" s="323">
        <f>SUM(E188:E197)</f>
        <v>67100</v>
      </c>
      <c r="F187" s="323">
        <f>SUM(F188:F197)</f>
        <v>51335</v>
      </c>
      <c r="G187" s="323">
        <f>SUM(G188:G197)</f>
        <v>56500</v>
      </c>
      <c r="H187" s="323"/>
      <c r="I187" s="241">
        <f t="shared" si="6"/>
        <v>1.1006136164410247</v>
      </c>
    </row>
    <row r="188" spans="1:14" s="212" customFormat="1" ht="12.75" customHeight="1">
      <c r="A188" s="197"/>
      <c r="B188" s="197"/>
      <c r="C188" s="217" t="s">
        <v>219</v>
      </c>
      <c r="D188" s="218" t="s">
        <v>220</v>
      </c>
      <c r="E188" s="311">
        <v>38000</v>
      </c>
      <c r="F188" s="311">
        <f>E188</f>
        <v>38000</v>
      </c>
      <c r="G188" s="311">
        <v>40000</v>
      </c>
      <c r="H188" s="311"/>
      <c r="I188" s="211">
        <f t="shared" si="6"/>
        <v>1.0526315789473684</v>
      </c>
      <c r="M188" s="213"/>
      <c r="N188" s="213"/>
    </row>
    <row r="189" spans="1:14" s="212" customFormat="1" ht="12.75" customHeight="1">
      <c r="A189" s="197"/>
      <c r="B189" s="197"/>
      <c r="C189" s="217" t="s">
        <v>170</v>
      </c>
      <c r="D189" s="218" t="s">
        <v>45</v>
      </c>
      <c r="E189" s="311">
        <v>300</v>
      </c>
      <c r="F189" s="311">
        <v>0</v>
      </c>
      <c r="G189" s="311"/>
      <c r="H189" s="311"/>
      <c r="I189" s="211"/>
      <c r="M189" s="213"/>
      <c r="N189" s="213"/>
    </row>
    <row r="190" spans="1:14" s="212" customFormat="1" ht="12.75" customHeight="1">
      <c r="A190" s="197"/>
      <c r="B190" s="197"/>
      <c r="C190" s="217" t="s">
        <v>171</v>
      </c>
      <c r="D190" s="218" t="s">
        <v>163</v>
      </c>
      <c r="E190" s="311">
        <v>100</v>
      </c>
      <c r="F190" s="311">
        <v>0</v>
      </c>
      <c r="G190" s="311"/>
      <c r="H190" s="311"/>
      <c r="I190" s="211"/>
      <c r="M190" s="213"/>
      <c r="N190" s="213"/>
    </row>
    <row r="191" spans="1:14">
      <c r="A191" s="195"/>
      <c r="B191" s="195"/>
      <c r="C191" s="217" t="s">
        <v>172</v>
      </c>
      <c r="D191" s="218" t="s">
        <v>164</v>
      </c>
      <c r="E191" s="311">
        <v>3000</v>
      </c>
      <c r="F191" s="311">
        <v>0</v>
      </c>
      <c r="G191" s="311"/>
      <c r="H191" s="311"/>
      <c r="I191" s="211"/>
    </row>
    <row r="192" spans="1:14">
      <c r="A192" s="195"/>
      <c r="B192" s="195"/>
      <c r="C192" s="217" t="s">
        <v>173</v>
      </c>
      <c r="D192" s="218" t="s">
        <v>11</v>
      </c>
      <c r="E192" s="311">
        <v>3200</v>
      </c>
      <c r="F192" s="311">
        <v>40</v>
      </c>
      <c r="G192" s="311">
        <v>5000</v>
      </c>
      <c r="H192" s="311"/>
      <c r="I192" s="211"/>
    </row>
    <row r="193" spans="1:13">
      <c r="A193" s="195"/>
      <c r="B193" s="195"/>
      <c r="C193" s="217" t="s">
        <v>174</v>
      </c>
      <c r="D193" s="218" t="s">
        <v>13</v>
      </c>
      <c r="E193" s="311">
        <v>6500</v>
      </c>
      <c r="F193" s="311">
        <v>6000</v>
      </c>
      <c r="G193" s="311">
        <v>6000</v>
      </c>
      <c r="H193" s="311"/>
      <c r="I193" s="211">
        <f t="shared" si="6"/>
        <v>1</v>
      </c>
    </row>
    <row r="194" spans="1:13">
      <c r="A194" s="195"/>
      <c r="B194" s="195"/>
      <c r="C194" s="217" t="s">
        <v>175</v>
      </c>
      <c r="D194" s="218" t="s">
        <v>25</v>
      </c>
      <c r="E194" s="311">
        <v>2000</v>
      </c>
      <c r="F194" s="311">
        <v>500</v>
      </c>
      <c r="G194" s="311">
        <v>500</v>
      </c>
      <c r="H194" s="311"/>
      <c r="I194" s="211">
        <f t="shared" si="6"/>
        <v>1</v>
      </c>
    </row>
    <row r="195" spans="1:13" ht="22.5">
      <c r="A195" s="195"/>
      <c r="B195" s="195"/>
      <c r="C195" s="217" t="s">
        <v>221</v>
      </c>
      <c r="D195" s="218" t="s">
        <v>222</v>
      </c>
      <c r="E195" s="311">
        <v>8000</v>
      </c>
      <c r="F195" s="311">
        <v>4000</v>
      </c>
      <c r="G195" s="311">
        <v>5000</v>
      </c>
      <c r="H195" s="311"/>
      <c r="I195" s="211">
        <f t="shared" si="6"/>
        <v>1.25</v>
      </c>
    </row>
    <row r="196" spans="1:13" ht="22.5">
      <c r="A196" s="195"/>
      <c r="B196" s="195"/>
      <c r="C196" s="217" t="s">
        <v>193</v>
      </c>
      <c r="D196" s="218" t="s">
        <v>189</v>
      </c>
      <c r="E196" s="311">
        <v>3000</v>
      </c>
      <c r="F196" s="311">
        <v>295</v>
      </c>
      <c r="G196" s="311"/>
      <c r="H196" s="311"/>
      <c r="I196" s="211">
        <f t="shared" si="6"/>
        <v>0</v>
      </c>
    </row>
    <row r="197" spans="1:13" ht="22.5">
      <c r="A197" s="195"/>
      <c r="B197" s="195"/>
      <c r="C197" s="217" t="s">
        <v>194</v>
      </c>
      <c r="D197" s="218" t="s">
        <v>190</v>
      </c>
      <c r="E197" s="311">
        <v>3000</v>
      </c>
      <c r="F197" s="311">
        <v>2500</v>
      </c>
      <c r="G197" s="319"/>
      <c r="H197" s="344"/>
      <c r="I197" s="211">
        <f t="shared" si="6"/>
        <v>0</v>
      </c>
    </row>
    <row r="198" spans="1:13">
      <c r="A198" s="267">
        <v>757</v>
      </c>
      <c r="B198" s="268"/>
      <c r="C198" s="268"/>
      <c r="D198" s="269" t="s">
        <v>39</v>
      </c>
      <c r="E198" s="324">
        <f>E199+E202</f>
        <v>340000</v>
      </c>
      <c r="F198" s="324">
        <f>F199+F202</f>
        <v>285000</v>
      </c>
      <c r="G198" s="324">
        <f>G199+G202</f>
        <v>395000</v>
      </c>
      <c r="H198" s="324"/>
      <c r="I198" s="241">
        <f t="shared" si="6"/>
        <v>1.3859649122807018</v>
      </c>
      <c r="M198" s="192">
        <v>7300</v>
      </c>
    </row>
    <row r="199" spans="1:13" ht="25.5" customHeight="1">
      <c r="A199" s="204"/>
      <c r="B199" s="216">
        <v>75702</v>
      </c>
      <c r="C199" s="204"/>
      <c r="D199" s="205" t="s">
        <v>223</v>
      </c>
      <c r="E199" s="313">
        <f>E200+E201</f>
        <v>315000</v>
      </c>
      <c r="F199" s="313">
        <f>SUM(F200:F201)</f>
        <v>285000</v>
      </c>
      <c r="G199" s="313">
        <f>SUM(G200:G201)</f>
        <v>370000</v>
      </c>
      <c r="H199" s="313"/>
      <c r="I199" s="241">
        <f t="shared" si="6"/>
        <v>1.2982456140350878</v>
      </c>
      <c r="M199" s="192">
        <v>54300</v>
      </c>
    </row>
    <row r="200" spans="1:13" ht="23.25" customHeight="1">
      <c r="A200" s="270"/>
      <c r="B200" s="252"/>
      <c r="C200" s="270">
        <v>8010</v>
      </c>
      <c r="D200" s="232" t="s">
        <v>356</v>
      </c>
      <c r="E200" s="311">
        <v>30000</v>
      </c>
      <c r="F200" s="311">
        <v>0</v>
      </c>
      <c r="G200" s="311">
        <v>0</v>
      </c>
      <c r="H200" s="311"/>
      <c r="I200" s="211" t="e">
        <f t="shared" si="6"/>
        <v>#DIV/0!</v>
      </c>
    </row>
    <row r="201" spans="1:13" ht="30" customHeight="1">
      <c r="A201" s="195"/>
      <c r="B201" s="195"/>
      <c r="C201" s="301" t="s">
        <v>401</v>
      </c>
      <c r="D201" s="302" t="s">
        <v>402</v>
      </c>
      <c r="E201" s="311">
        <v>285000</v>
      </c>
      <c r="F201" s="311">
        <f>E201</f>
        <v>285000</v>
      </c>
      <c r="G201" s="311">
        <v>370000</v>
      </c>
      <c r="H201" s="311"/>
      <c r="I201" s="211">
        <f t="shared" si="6"/>
        <v>1.2982456140350878</v>
      </c>
    </row>
    <row r="202" spans="1:13" ht="22.5">
      <c r="A202" s="204"/>
      <c r="B202" s="204">
        <v>75704</v>
      </c>
      <c r="C202" s="216"/>
      <c r="D202" s="205" t="s">
        <v>357</v>
      </c>
      <c r="E202" s="325">
        <f>E203</f>
        <v>25000</v>
      </c>
      <c r="F202" s="325">
        <f>F203</f>
        <v>0</v>
      </c>
      <c r="G202" s="325">
        <f>G203</f>
        <v>25000</v>
      </c>
      <c r="H202" s="325"/>
      <c r="I202" s="241"/>
    </row>
    <row r="203" spans="1:13">
      <c r="A203" s="195"/>
      <c r="B203" s="195"/>
      <c r="C203" s="214">
        <v>8020</v>
      </c>
      <c r="D203" s="218" t="s">
        <v>358</v>
      </c>
      <c r="E203" s="311">
        <v>25000</v>
      </c>
      <c r="F203" s="311">
        <v>0</v>
      </c>
      <c r="G203" s="311">
        <v>25000</v>
      </c>
      <c r="H203" s="311"/>
      <c r="I203" s="211"/>
    </row>
    <row r="204" spans="1:13">
      <c r="A204" s="199">
        <v>758</v>
      </c>
      <c r="B204" s="215"/>
      <c r="C204" s="200"/>
      <c r="D204" s="201" t="s">
        <v>225</v>
      </c>
      <c r="E204" s="312">
        <f t="shared" ref="E204:G205" si="9">E205</f>
        <v>13918</v>
      </c>
      <c r="F204" s="312">
        <f t="shared" si="9"/>
        <v>0</v>
      </c>
      <c r="G204" s="312">
        <f t="shared" si="9"/>
        <v>112000</v>
      </c>
      <c r="H204" s="312"/>
      <c r="I204" s="282"/>
    </row>
    <row r="205" spans="1:13">
      <c r="A205" s="204"/>
      <c r="B205" s="216">
        <v>75818</v>
      </c>
      <c r="C205" s="204"/>
      <c r="D205" s="204" t="s">
        <v>41</v>
      </c>
      <c r="E205" s="313">
        <f t="shared" si="9"/>
        <v>13918</v>
      </c>
      <c r="F205" s="313">
        <f t="shared" si="9"/>
        <v>0</v>
      </c>
      <c r="G205" s="313">
        <f t="shared" si="9"/>
        <v>112000</v>
      </c>
      <c r="H205" s="313"/>
      <c r="I205" s="241"/>
    </row>
    <row r="206" spans="1:13">
      <c r="A206" s="195"/>
      <c r="B206" s="195"/>
      <c r="C206" s="214">
        <v>4810</v>
      </c>
      <c r="D206" s="195" t="s">
        <v>42</v>
      </c>
      <c r="E206" s="311">
        <v>13918</v>
      </c>
      <c r="F206" s="311">
        <v>0</v>
      </c>
      <c r="G206" s="311">
        <v>112000</v>
      </c>
      <c r="H206" s="311"/>
      <c r="I206" s="211"/>
    </row>
    <row r="207" spans="1:13" ht="18" customHeight="1">
      <c r="A207" s="199">
        <v>801</v>
      </c>
      <c r="B207" s="200"/>
      <c r="C207" s="271"/>
      <c r="D207" s="201" t="s">
        <v>226</v>
      </c>
      <c r="E207" s="312">
        <f>E208+E232+E243+E264+E287+E302+E305+E319</f>
        <v>8336591</v>
      </c>
      <c r="F207" s="312">
        <f>F208+F232+F243+F264+F287+F302+F305+F319</f>
        <v>8134980.1399999997</v>
      </c>
      <c r="G207" s="312">
        <f>G208+G232+G243+G264+G287+G302+G305+G319</f>
        <v>8259939</v>
      </c>
      <c r="H207" s="312"/>
      <c r="I207" s="282">
        <f t="shared" si="6"/>
        <v>1.0153606840888982</v>
      </c>
      <c r="M207" s="191">
        <f>M208/F541</f>
        <v>0.31410203848084584</v>
      </c>
    </row>
    <row r="208" spans="1:13">
      <c r="A208" s="203"/>
      <c r="B208" s="204">
        <v>80101</v>
      </c>
      <c r="C208" s="229"/>
      <c r="D208" s="205" t="s">
        <v>44</v>
      </c>
      <c r="E208" s="313">
        <f>SUM(E209:E230)</f>
        <v>4422226</v>
      </c>
      <c r="F208" s="313">
        <f>SUM(F209:F230)</f>
        <v>4281024</v>
      </c>
      <c r="G208" s="313">
        <f>SUM(G209:G230)</f>
        <v>4618800</v>
      </c>
      <c r="H208" s="313"/>
      <c r="I208" s="241">
        <f t="shared" si="6"/>
        <v>1.0789007489796834</v>
      </c>
      <c r="J208" s="244"/>
      <c r="M208" s="192">
        <f>F207+F451</f>
        <v>8286316.1399999997</v>
      </c>
    </row>
    <row r="209" spans="1:14">
      <c r="A209" s="233"/>
      <c r="B209" s="194"/>
      <c r="C209" s="217" t="s">
        <v>195</v>
      </c>
      <c r="D209" s="218" t="s">
        <v>196</v>
      </c>
      <c r="E209" s="311">
        <v>205700</v>
      </c>
      <c r="F209" s="319">
        <v>199200</v>
      </c>
      <c r="G209" s="311">
        <v>220300</v>
      </c>
      <c r="H209" s="311"/>
      <c r="I209" s="211">
        <f t="shared" si="6"/>
        <v>1.1059236947791165</v>
      </c>
      <c r="L209" s="272">
        <f>E207-E230-E231-E262-E263-E318</f>
        <v>8236591</v>
      </c>
      <c r="M209" s="272">
        <f>F207-F230-F231-F262-F263-F318</f>
        <v>8134980.1399999997</v>
      </c>
      <c r="N209" s="191">
        <f>M209/L209</f>
        <v>0.98766348116593383</v>
      </c>
    </row>
    <row r="210" spans="1:14">
      <c r="A210" s="233"/>
      <c r="B210" s="195"/>
      <c r="C210" s="217" t="s">
        <v>197</v>
      </c>
      <c r="D210" s="218" t="s">
        <v>184</v>
      </c>
      <c r="E210" s="311">
        <v>2694738</v>
      </c>
      <c r="F210" s="319">
        <v>2689900</v>
      </c>
      <c r="G210" s="311">
        <v>2924500</v>
      </c>
      <c r="H210" s="311"/>
      <c r="I210" s="211">
        <f t="shared" si="6"/>
        <v>1.0872151381092234</v>
      </c>
      <c r="L210" s="192">
        <f>E207-L209</f>
        <v>100000</v>
      </c>
      <c r="M210" s="192">
        <f>F207-M209</f>
        <v>0</v>
      </c>
      <c r="N210" s="191">
        <f>M210/L210</f>
        <v>0</v>
      </c>
    </row>
    <row r="211" spans="1:14">
      <c r="A211" s="233"/>
      <c r="B211" s="195"/>
      <c r="C211" s="217" t="s">
        <v>198</v>
      </c>
      <c r="D211" s="218" t="s">
        <v>185</v>
      </c>
      <c r="E211" s="311">
        <v>207805</v>
      </c>
      <c r="F211" s="319">
        <v>207805</v>
      </c>
      <c r="G211" s="311">
        <v>230400</v>
      </c>
      <c r="H211" s="311"/>
      <c r="I211" s="211">
        <f t="shared" ref="I211:I279" si="10">G211/F211</f>
        <v>1.1087317437020283</v>
      </c>
    </row>
    <row r="212" spans="1:14">
      <c r="A212" s="233"/>
      <c r="B212" s="195"/>
      <c r="C212" s="217" t="s">
        <v>170</v>
      </c>
      <c r="D212" s="218" t="s">
        <v>45</v>
      </c>
      <c r="E212" s="311">
        <v>467720</v>
      </c>
      <c r="F212" s="319">
        <v>465100</v>
      </c>
      <c r="G212" s="311">
        <v>509400</v>
      </c>
      <c r="H212" s="311"/>
      <c r="I212" s="211">
        <f t="shared" si="10"/>
        <v>1.0952483336916792</v>
      </c>
      <c r="M212" s="192">
        <f>F208-F230</f>
        <v>4281024</v>
      </c>
    </row>
    <row r="213" spans="1:14">
      <c r="A213" s="233"/>
      <c r="B213" s="195"/>
      <c r="C213" s="217" t="s">
        <v>171</v>
      </c>
      <c r="D213" s="218" t="s">
        <v>163</v>
      </c>
      <c r="E213" s="311">
        <v>74640</v>
      </c>
      <c r="F213" s="319">
        <v>72900</v>
      </c>
      <c r="G213" s="311">
        <v>82800</v>
      </c>
      <c r="H213" s="311"/>
      <c r="I213" s="211">
        <f t="shared" si="10"/>
        <v>1.1358024691358024</v>
      </c>
      <c r="L213" s="192"/>
      <c r="N213" s="191"/>
    </row>
    <row r="214" spans="1:14" ht="22.5">
      <c r="A214" s="233"/>
      <c r="B214" s="195"/>
      <c r="C214" s="217" t="s">
        <v>199</v>
      </c>
      <c r="D214" s="218" t="s">
        <v>200</v>
      </c>
      <c r="E214" s="311">
        <v>7550</v>
      </c>
      <c r="F214" s="319">
        <v>1050</v>
      </c>
      <c r="G214" s="311"/>
      <c r="H214" s="311"/>
      <c r="I214" s="211">
        <f t="shared" si="10"/>
        <v>0</v>
      </c>
      <c r="L214" s="272">
        <f>E210+E211+E212+E213+E215</f>
        <v>3459703</v>
      </c>
      <c r="M214" s="272">
        <f>F210+F211+F212+F213+F215</f>
        <v>3449205</v>
      </c>
      <c r="N214" s="191">
        <f>M214/L214</f>
        <v>0.99696563548952033</v>
      </c>
    </row>
    <row r="215" spans="1:14">
      <c r="A215" s="233"/>
      <c r="B215" s="195"/>
      <c r="C215" s="217" t="s">
        <v>172</v>
      </c>
      <c r="D215" s="218" t="s">
        <v>164</v>
      </c>
      <c r="E215" s="311">
        <v>14800</v>
      </c>
      <c r="F215" s="319">
        <v>13500</v>
      </c>
      <c r="G215" s="311">
        <v>16100</v>
      </c>
      <c r="H215" s="311"/>
      <c r="I215" s="211">
        <f t="shared" si="10"/>
        <v>1.1925925925925926</v>
      </c>
      <c r="M215" s="272"/>
    </row>
    <row r="216" spans="1:14">
      <c r="A216" s="233"/>
      <c r="B216" s="195"/>
      <c r="C216" s="217" t="s">
        <v>173</v>
      </c>
      <c r="D216" s="218" t="s">
        <v>11</v>
      </c>
      <c r="E216" s="311">
        <v>190160</v>
      </c>
      <c r="F216" s="319">
        <v>209050</v>
      </c>
      <c r="G216" s="311">
        <v>191600</v>
      </c>
      <c r="H216" s="311"/>
      <c r="I216" s="211">
        <f t="shared" si="10"/>
        <v>0.91652714661564216</v>
      </c>
      <c r="L216" s="192">
        <f>E208-E209-E210-E211-E212-E213-E215-E226-E230-E231</f>
        <v>483250</v>
      </c>
      <c r="M216" s="192">
        <f>F208-F209-F210-F211-F212-F213-F215-F226-F230-F231</f>
        <v>460332</v>
      </c>
      <c r="N216" s="191">
        <f>M216/L216</f>
        <v>0.95257527159855149</v>
      </c>
    </row>
    <row r="217" spans="1:14" ht="22.5">
      <c r="A217" s="233"/>
      <c r="B217" s="195"/>
      <c r="C217" s="217" t="s">
        <v>227</v>
      </c>
      <c r="D217" s="218" t="s">
        <v>228</v>
      </c>
      <c r="E217" s="311">
        <v>8950</v>
      </c>
      <c r="F217" s="319">
        <v>7700</v>
      </c>
      <c r="G217" s="311">
        <v>7200</v>
      </c>
      <c r="H217" s="311"/>
      <c r="I217" s="211">
        <f t="shared" si="10"/>
        <v>0.93506493506493504</v>
      </c>
      <c r="L217" s="192"/>
      <c r="N217" s="191"/>
    </row>
    <row r="218" spans="1:14">
      <c r="A218" s="233"/>
      <c r="B218" s="195"/>
      <c r="C218" s="217" t="s">
        <v>181</v>
      </c>
      <c r="D218" s="218" t="s">
        <v>24</v>
      </c>
      <c r="E218" s="311">
        <v>77100</v>
      </c>
      <c r="F218" s="319">
        <v>75400</v>
      </c>
      <c r="G218" s="311">
        <v>72000</v>
      </c>
      <c r="H218" s="311"/>
      <c r="I218" s="211">
        <f t="shared" si="10"/>
        <v>0.95490716180371349</v>
      </c>
      <c r="M218" s="192">
        <f>F230+F231</f>
        <v>0</v>
      </c>
    </row>
    <row r="219" spans="1:14">
      <c r="A219" s="233"/>
      <c r="B219" s="195"/>
      <c r="C219" s="217" t="s">
        <v>179</v>
      </c>
      <c r="D219" s="218" t="s">
        <v>21</v>
      </c>
      <c r="E219" s="311">
        <v>19300</v>
      </c>
      <c r="F219" s="319">
        <v>19100</v>
      </c>
      <c r="G219" s="311">
        <v>32700</v>
      </c>
      <c r="H219" s="311"/>
      <c r="I219" s="211">
        <f t="shared" si="10"/>
        <v>1.712041884816754</v>
      </c>
    </row>
    <row r="220" spans="1:14">
      <c r="A220" s="233"/>
      <c r="B220" s="195"/>
      <c r="C220" s="217" t="s">
        <v>201</v>
      </c>
      <c r="D220" s="218" t="s">
        <v>37</v>
      </c>
      <c r="E220" s="311">
        <v>9300</v>
      </c>
      <c r="F220" s="319">
        <v>8700</v>
      </c>
      <c r="G220" s="311">
        <v>8650</v>
      </c>
      <c r="H220" s="311"/>
      <c r="I220" s="211">
        <f t="shared" si="10"/>
        <v>0.99425287356321834</v>
      </c>
    </row>
    <row r="221" spans="1:14">
      <c r="A221" s="233"/>
      <c r="B221" s="195"/>
      <c r="C221" s="217" t="s">
        <v>174</v>
      </c>
      <c r="D221" s="218" t="s">
        <v>13</v>
      </c>
      <c r="E221" s="311">
        <v>105200</v>
      </c>
      <c r="F221" s="319">
        <v>79750</v>
      </c>
      <c r="G221" s="311">
        <v>76900</v>
      </c>
      <c r="H221" s="311"/>
      <c r="I221" s="211">
        <f t="shared" si="10"/>
        <v>0.96426332288401251</v>
      </c>
    </row>
    <row r="222" spans="1:14">
      <c r="A222" s="233"/>
      <c r="B222" s="195"/>
      <c r="C222" s="217" t="s">
        <v>202</v>
      </c>
      <c r="D222" s="218" t="s">
        <v>33</v>
      </c>
      <c r="E222" s="311">
        <v>3280</v>
      </c>
      <c r="F222" s="319">
        <v>3222</v>
      </c>
      <c r="G222" s="311">
        <v>3400</v>
      </c>
      <c r="H222" s="311"/>
      <c r="I222" s="211">
        <f t="shared" si="10"/>
        <v>1.0552451893234016</v>
      </c>
      <c r="L222" s="192">
        <f>E208+E232+E243+E264+E302+E305-E230</f>
        <v>7427724</v>
      </c>
      <c r="M222" s="192">
        <f>F208+F232+F243+F264+F302+F305-F230</f>
        <v>7395154.1399999997</v>
      </c>
      <c r="N222" s="191">
        <f>M222/L222</f>
        <v>0.99561509555282346</v>
      </c>
    </row>
    <row r="223" spans="1:14" ht="22.5">
      <c r="A223" s="233"/>
      <c r="B223" s="195"/>
      <c r="C223" s="217" t="s">
        <v>203</v>
      </c>
      <c r="D223" s="218" t="s">
        <v>204</v>
      </c>
      <c r="E223" s="311">
        <v>14600</v>
      </c>
      <c r="F223" s="319">
        <v>13550</v>
      </c>
      <c r="G223" s="311">
        <v>13800</v>
      </c>
      <c r="H223" s="311"/>
      <c r="I223" s="211">
        <f t="shared" si="10"/>
        <v>1.018450184501845</v>
      </c>
    </row>
    <row r="224" spans="1:14">
      <c r="A224" s="233"/>
      <c r="B224" s="195"/>
      <c r="C224" s="217" t="s">
        <v>175</v>
      </c>
      <c r="D224" s="218" t="s">
        <v>25</v>
      </c>
      <c r="E224" s="311">
        <v>16100</v>
      </c>
      <c r="F224" s="319">
        <v>15300</v>
      </c>
      <c r="G224" s="311">
        <v>15750</v>
      </c>
      <c r="H224" s="311"/>
      <c r="I224" s="211">
        <f t="shared" si="10"/>
        <v>1.0294117647058822</v>
      </c>
    </row>
    <row r="225" spans="1:14">
      <c r="A225" s="233"/>
      <c r="B225" s="195"/>
      <c r="C225" s="217" t="s">
        <v>176</v>
      </c>
      <c r="D225" s="218" t="s">
        <v>26</v>
      </c>
      <c r="E225" s="311">
        <v>12900</v>
      </c>
      <c r="F225" s="319">
        <v>12400</v>
      </c>
      <c r="G225" s="311">
        <v>15550</v>
      </c>
      <c r="H225" s="311"/>
      <c r="I225" s="211">
        <f t="shared" si="10"/>
        <v>1.2540322580645162</v>
      </c>
    </row>
    <row r="226" spans="1:14" ht="22.5">
      <c r="A226" s="233"/>
      <c r="B226" s="195"/>
      <c r="C226" s="217" t="s">
        <v>206</v>
      </c>
      <c r="D226" s="218" t="s">
        <v>207</v>
      </c>
      <c r="E226" s="311">
        <v>173573</v>
      </c>
      <c r="F226" s="319">
        <v>172287</v>
      </c>
      <c r="G226" s="311">
        <v>167300</v>
      </c>
      <c r="H226" s="311"/>
      <c r="I226" s="211">
        <f t="shared" si="10"/>
        <v>0.97105411319484347</v>
      </c>
    </row>
    <row r="227" spans="1:14" ht="22.5">
      <c r="A227" s="233"/>
      <c r="B227" s="195"/>
      <c r="C227" s="217" t="s">
        <v>193</v>
      </c>
      <c r="D227" s="218" t="s">
        <v>189</v>
      </c>
      <c r="E227" s="311">
        <v>4100</v>
      </c>
      <c r="F227" s="319">
        <v>2850</v>
      </c>
      <c r="G227" s="311">
        <v>5450</v>
      </c>
      <c r="H227" s="311"/>
      <c r="I227" s="211">
        <f t="shared" si="10"/>
        <v>1.9122807017543859</v>
      </c>
      <c r="L227" s="192"/>
    </row>
    <row r="228" spans="1:14" ht="22.5">
      <c r="A228" s="233"/>
      <c r="B228" s="195"/>
      <c r="C228" s="217" t="s">
        <v>194</v>
      </c>
      <c r="D228" s="218" t="s">
        <v>190</v>
      </c>
      <c r="E228" s="311">
        <v>5710</v>
      </c>
      <c r="F228" s="319">
        <v>4310</v>
      </c>
      <c r="G228" s="319"/>
      <c r="H228" s="344"/>
      <c r="I228" s="211">
        <f t="shared" si="10"/>
        <v>0</v>
      </c>
    </row>
    <row r="229" spans="1:14" ht="22.5">
      <c r="A229" s="233"/>
      <c r="B229" s="195"/>
      <c r="C229" s="217" t="s">
        <v>208</v>
      </c>
      <c r="D229" s="218" t="s">
        <v>186</v>
      </c>
      <c r="E229" s="311">
        <v>9000</v>
      </c>
      <c r="F229" s="319">
        <v>7950</v>
      </c>
      <c r="G229" s="319"/>
      <c r="H229" s="344"/>
      <c r="I229" s="211">
        <f t="shared" si="10"/>
        <v>0</v>
      </c>
    </row>
    <row r="230" spans="1:14" ht="22.5">
      <c r="A230" s="233"/>
      <c r="B230" s="195"/>
      <c r="C230" s="217" t="s">
        <v>182</v>
      </c>
      <c r="D230" s="218" t="s">
        <v>34</v>
      </c>
      <c r="E230" s="311">
        <v>100000</v>
      </c>
      <c r="F230" s="319"/>
      <c r="G230" s="311">
        <v>25000</v>
      </c>
      <c r="H230" s="311"/>
      <c r="I230" s="211" t="e">
        <f t="shared" si="10"/>
        <v>#DIV/0!</v>
      </c>
    </row>
    <row r="231" spans="1:14" ht="22.5" hidden="1">
      <c r="A231" s="233"/>
      <c r="B231" s="195"/>
      <c r="C231" s="217" t="s">
        <v>182</v>
      </c>
      <c r="D231" s="218" t="s">
        <v>34</v>
      </c>
      <c r="E231" s="311"/>
      <c r="F231" s="311"/>
      <c r="G231" s="311"/>
      <c r="H231" s="311"/>
      <c r="I231" s="211" t="e">
        <f t="shared" si="10"/>
        <v>#DIV/0!</v>
      </c>
    </row>
    <row r="232" spans="1:14" ht="22.5">
      <c r="A232" s="203"/>
      <c r="B232" s="204">
        <v>80103</v>
      </c>
      <c r="C232" s="229"/>
      <c r="D232" s="205" t="s">
        <v>229</v>
      </c>
      <c r="E232" s="313">
        <f>SUM(E233:E242)</f>
        <v>349385</v>
      </c>
      <c r="F232" s="313">
        <f>SUM(F233:F242)</f>
        <v>315115</v>
      </c>
      <c r="G232" s="313">
        <f>SUM(G233:G242)</f>
        <v>411654</v>
      </c>
      <c r="H232" s="313"/>
      <c r="I232" s="241">
        <f t="shared" si="10"/>
        <v>1.3063611697316853</v>
      </c>
      <c r="J232" s="244"/>
    </row>
    <row r="233" spans="1:14">
      <c r="A233" s="233"/>
      <c r="B233" s="195"/>
      <c r="C233" s="217" t="s">
        <v>195</v>
      </c>
      <c r="D233" s="218" t="s">
        <v>196</v>
      </c>
      <c r="E233" s="311">
        <v>23480</v>
      </c>
      <c r="F233" s="319">
        <v>20900</v>
      </c>
      <c r="G233" s="311">
        <v>22950</v>
      </c>
      <c r="H233" s="311"/>
      <c r="I233" s="211">
        <f t="shared" si="10"/>
        <v>1.0980861244019138</v>
      </c>
      <c r="L233" s="192">
        <f>E234+E235+E236+E237</f>
        <v>305490</v>
      </c>
      <c r="M233" s="192">
        <f>F234+F235+F236+F237</f>
        <v>273800</v>
      </c>
      <c r="N233" s="191">
        <f>M233/L233</f>
        <v>0.89626501685816229</v>
      </c>
    </row>
    <row r="234" spans="1:14">
      <c r="A234" s="233"/>
      <c r="B234" s="195"/>
      <c r="C234" s="217" t="s">
        <v>197</v>
      </c>
      <c r="D234" s="218" t="s">
        <v>184</v>
      </c>
      <c r="E234" s="311">
        <v>242070</v>
      </c>
      <c r="F234" s="319">
        <v>215800</v>
      </c>
      <c r="G234" s="311">
        <v>291000</v>
      </c>
      <c r="H234" s="311"/>
      <c r="I234" s="211">
        <f t="shared" si="10"/>
        <v>1.3484708063021316</v>
      </c>
      <c r="M234" s="191"/>
      <c r="N234" s="191"/>
    </row>
    <row r="235" spans="1:14">
      <c r="A235" s="233"/>
      <c r="B235" s="195"/>
      <c r="C235" s="217" t="s">
        <v>198</v>
      </c>
      <c r="D235" s="218" t="s">
        <v>185</v>
      </c>
      <c r="E235" s="311">
        <v>13370</v>
      </c>
      <c r="F235" s="319">
        <v>13400</v>
      </c>
      <c r="G235" s="311">
        <v>20500</v>
      </c>
      <c r="H235" s="311"/>
      <c r="I235" s="211">
        <f t="shared" si="10"/>
        <v>1.5298507462686568</v>
      </c>
      <c r="L235" s="192">
        <f>E232-L233-E242-E233</f>
        <v>5750</v>
      </c>
      <c r="M235" s="192">
        <f>F232-M233-F242-F233</f>
        <v>5750</v>
      </c>
      <c r="N235" s="191">
        <f>M235/L235</f>
        <v>1</v>
      </c>
    </row>
    <row r="236" spans="1:14">
      <c r="A236" s="233"/>
      <c r="B236" s="195"/>
      <c r="C236" s="217" t="s">
        <v>170</v>
      </c>
      <c r="D236" s="218" t="s">
        <v>45</v>
      </c>
      <c r="E236" s="311">
        <v>43100</v>
      </c>
      <c r="F236" s="319">
        <v>38200</v>
      </c>
      <c r="G236" s="311">
        <v>50900</v>
      </c>
      <c r="H236" s="311"/>
      <c r="I236" s="211">
        <f t="shared" si="10"/>
        <v>1.3324607329842932</v>
      </c>
    </row>
    <row r="237" spans="1:14">
      <c r="A237" s="233"/>
      <c r="B237" s="195"/>
      <c r="C237" s="217" t="s">
        <v>171</v>
      </c>
      <c r="D237" s="218" t="s">
        <v>163</v>
      </c>
      <c r="E237" s="311">
        <v>6950</v>
      </c>
      <c r="F237" s="319">
        <v>6400</v>
      </c>
      <c r="G237" s="311">
        <v>8200</v>
      </c>
      <c r="H237" s="311"/>
      <c r="I237" s="211">
        <f t="shared" si="10"/>
        <v>1.28125</v>
      </c>
      <c r="L237" s="192"/>
      <c r="N237" s="191"/>
    </row>
    <row r="238" spans="1:14">
      <c r="A238" s="233"/>
      <c r="B238" s="195"/>
      <c r="C238" s="217" t="s">
        <v>173</v>
      </c>
      <c r="D238" s="218" t="s">
        <v>11</v>
      </c>
      <c r="E238" s="311">
        <v>3400</v>
      </c>
      <c r="F238" s="319">
        <v>3400</v>
      </c>
      <c r="G238" s="311">
        <v>500</v>
      </c>
      <c r="H238" s="311"/>
      <c r="I238" s="211">
        <f t="shared" si="10"/>
        <v>0.14705882352941177</v>
      </c>
    </row>
    <row r="239" spans="1:14" ht="22.5">
      <c r="A239" s="233"/>
      <c r="B239" s="195"/>
      <c r="C239" s="217" t="s">
        <v>227</v>
      </c>
      <c r="D239" s="218" t="s">
        <v>228</v>
      </c>
      <c r="E239" s="311">
        <v>750</v>
      </c>
      <c r="F239" s="319">
        <v>750</v>
      </c>
      <c r="G239" s="311">
        <v>260</v>
      </c>
      <c r="H239" s="311"/>
      <c r="I239" s="211">
        <f t="shared" si="10"/>
        <v>0.34666666666666668</v>
      </c>
    </row>
    <row r="240" spans="1:14">
      <c r="A240" s="233"/>
      <c r="B240" s="195"/>
      <c r="C240" s="217" t="s">
        <v>181</v>
      </c>
      <c r="D240" s="218" t="s">
        <v>24</v>
      </c>
      <c r="E240" s="311">
        <v>1250</v>
      </c>
      <c r="F240" s="319">
        <v>1250</v>
      </c>
      <c r="G240" s="311">
        <v>1300</v>
      </c>
      <c r="H240" s="311"/>
      <c r="I240" s="211">
        <f t="shared" si="10"/>
        <v>1.04</v>
      </c>
      <c r="L240" s="192"/>
    </row>
    <row r="241" spans="1:14">
      <c r="A241" s="233"/>
      <c r="B241" s="195"/>
      <c r="C241" s="217" t="s">
        <v>201</v>
      </c>
      <c r="D241" s="218" t="s">
        <v>37</v>
      </c>
      <c r="E241" s="311">
        <v>350</v>
      </c>
      <c r="F241" s="319">
        <v>350</v>
      </c>
      <c r="G241" s="311">
        <v>460</v>
      </c>
      <c r="H241" s="311"/>
      <c r="I241" s="211">
        <f t="shared" si="10"/>
        <v>1.3142857142857143</v>
      </c>
    </row>
    <row r="242" spans="1:14" ht="22.5">
      <c r="A242" s="233"/>
      <c r="B242" s="195"/>
      <c r="C242" s="217" t="s">
        <v>206</v>
      </c>
      <c r="D242" s="218" t="s">
        <v>207</v>
      </c>
      <c r="E242" s="311">
        <v>14665</v>
      </c>
      <c r="F242" s="319">
        <v>14665</v>
      </c>
      <c r="G242" s="311">
        <v>15584</v>
      </c>
      <c r="H242" s="311"/>
      <c r="I242" s="211">
        <f t="shared" si="10"/>
        <v>1.0626662120695534</v>
      </c>
    </row>
    <row r="243" spans="1:14">
      <c r="A243" s="203"/>
      <c r="B243" s="216">
        <v>80104</v>
      </c>
      <c r="C243" s="229"/>
      <c r="D243" s="205" t="s">
        <v>230</v>
      </c>
      <c r="E243" s="313">
        <f>SUM(E244:E261)</f>
        <v>597309</v>
      </c>
      <c r="F243" s="313">
        <f>SUM(F244:F261)</f>
        <v>625021.14</v>
      </c>
      <c r="G243" s="313">
        <f>SUM(G244:G261)</f>
        <v>254036</v>
      </c>
      <c r="H243" s="360">
        <f>SUM(H244:H261)</f>
        <v>167791</v>
      </c>
      <c r="I243" s="285">
        <f>G243/F243</f>
        <v>0.40644385244313497</v>
      </c>
    </row>
    <row r="244" spans="1:14">
      <c r="A244" s="230"/>
      <c r="B244" s="220"/>
      <c r="C244" s="217" t="s">
        <v>195</v>
      </c>
      <c r="D244" s="218" t="s">
        <v>196</v>
      </c>
      <c r="E244" s="351"/>
      <c r="F244" s="319">
        <v>2300</v>
      </c>
      <c r="G244" s="349">
        <v>6820</v>
      </c>
      <c r="H244" s="361"/>
      <c r="I244" s="285">
        <f>G244/F244</f>
        <v>2.965217391304348</v>
      </c>
    </row>
    <row r="245" spans="1:14">
      <c r="A245" s="230"/>
      <c r="B245" s="220"/>
      <c r="C245" s="217" t="s">
        <v>197</v>
      </c>
      <c r="D245" s="218" t="s">
        <v>184</v>
      </c>
      <c r="E245" s="351"/>
      <c r="F245" s="319">
        <v>19450</v>
      </c>
      <c r="G245" s="349">
        <v>61400</v>
      </c>
      <c r="H245" s="361"/>
      <c r="I245" s="285">
        <f t="shared" ref="I245:I261" si="11">G245/F245</f>
        <v>3.1568123393316196</v>
      </c>
    </row>
    <row r="246" spans="1:14">
      <c r="A246" s="233"/>
      <c r="B246" s="197"/>
      <c r="C246" s="217" t="s">
        <v>403</v>
      </c>
      <c r="D246" s="218" t="s">
        <v>184</v>
      </c>
      <c r="E246" s="311">
        <v>294000</v>
      </c>
      <c r="F246" s="357">
        <f>E246</f>
        <v>294000</v>
      </c>
      <c r="G246" s="311">
        <v>73500</v>
      </c>
      <c r="H246" s="362">
        <f>G246</f>
        <v>73500</v>
      </c>
      <c r="I246" s="285">
        <f t="shared" si="11"/>
        <v>0.25</v>
      </c>
      <c r="M246" s="272"/>
    </row>
    <row r="247" spans="1:14">
      <c r="A247" s="233"/>
      <c r="B247" s="195"/>
      <c r="C247" s="217" t="s">
        <v>198</v>
      </c>
      <c r="D247" s="218" t="s">
        <v>185</v>
      </c>
      <c r="E247" s="311">
        <v>14000</v>
      </c>
      <c r="F247" s="319">
        <v>13998.14</v>
      </c>
      <c r="G247" s="349">
        <v>5100</v>
      </c>
      <c r="H247" s="362"/>
      <c r="I247" s="285">
        <f t="shared" si="11"/>
        <v>0.36433411867576693</v>
      </c>
      <c r="L247" s="192"/>
      <c r="M247" s="192" t="e">
        <f>#REF!+#REF!+F253+F254+F255+F256+F257+F258+F259</f>
        <v>#REF!</v>
      </c>
    </row>
    <row r="248" spans="1:14">
      <c r="A248" s="233"/>
      <c r="B248" s="195"/>
      <c r="C248" s="217" t="s">
        <v>416</v>
      </c>
      <c r="D248" s="218" t="s">
        <v>185</v>
      </c>
      <c r="E248" s="311"/>
      <c r="F248" s="357"/>
      <c r="G248" s="311">
        <v>20400</v>
      </c>
      <c r="H248" s="362">
        <v>20400</v>
      </c>
      <c r="I248" s="285"/>
      <c r="L248" s="192"/>
    </row>
    <row r="249" spans="1:14">
      <c r="A249" s="233"/>
      <c r="B249" s="195"/>
      <c r="C249" s="217" t="s">
        <v>170</v>
      </c>
      <c r="D249" s="218" t="s">
        <v>45</v>
      </c>
      <c r="E249" s="311">
        <v>20180</v>
      </c>
      <c r="F249" s="319">
        <v>25315</v>
      </c>
      <c r="G249" s="349">
        <v>11125</v>
      </c>
      <c r="H249" s="362"/>
      <c r="I249" s="285">
        <f t="shared" si="11"/>
        <v>0.43946276910922377</v>
      </c>
      <c r="L249" s="192">
        <f>E249+F249</f>
        <v>45495</v>
      </c>
    </row>
    <row r="250" spans="1:14">
      <c r="A250" s="233"/>
      <c r="B250" s="195"/>
      <c r="C250" s="217" t="s">
        <v>404</v>
      </c>
      <c r="D250" s="218" t="s">
        <v>45</v>
      </c>
      <c r="E250" s="311">
        <v>29642</v>
      </c>
      <c r="F250" s="357">
        <f>E250</f>
        <v>29642</v>
      </c>
      <c r="G250" s="311">
        <v>6000</v>
      </c>
      <c r="H250" s="362">
        <v>6000</v>
      </c>
      <c r="I250" s="285">
        <f t="shared" si="11"/>
        <v>0.20241549153228527</v>
      </c>
      <c r="L250" s="192">
        <f>E250+F250</f>
        <v>59284</v>
      </c>
      <c r="M250" s="192" t="e">
        <f>F243-#REF!-#REF!-#REF!-F261</f>
        <v>#REF!</v>
      </c>
    </row>
    <row r="251" spans="1:14">
      <c r="A251" s="233"/>
      <c r="B251" s="195"/>
      <c r="C251" s="217" t="s">
        <v>232</v>
      </c>
      <c r="D251" s="218" t="s">
        <v>45</v>
      </c>
      <c r="E251" s="311"/>
      <c r="F251" s="357"/>
      <c r="G251" s="311">
        <v>3800</v>
      </c>
      <c r="H251" s="362">
        <f>G251</f>
        <v>3800</v>
      </c>
      <c r="I251" s="285"/>
      <c r="L251" s="192">
        <f>E251+F251</f>
        <v>0</v>
      </c>
    </row>
    <row r="252" spans="1:14">
      <c r="A252" s="233"/>
      <c r="B252" s="195"/>
      <c r="C252" s="217" t="s">
        <v>171</v>
      </c>
      <c r="D252" s="218" t="s">
        <v>163</v>
      </c>
      <c r="E252" s="311">
        <v>7129</v>
      </c>
      <c r="F252" s="319">
        <v>7958</v>
      </c>
      <c r="G252" s="349">
        <v>1800</v>
      </c>
      <c r="H252" s="362"/>
      <c r="I252" s="285">
        <f t="shared" si="11"/>
        <v>0.22618748429253582</v>
      </c>
      <c r="L252" s="192">
        <f>E252+F252</f>
        <v>15087</v>
      </c>
      <c r="N252" s="191"/>
    </row>
    <row r="253" spans="1:14">
      <c r="A253" s="233"/>
      <c r="B253" s="195"/>
      <c r="C253" s="217" t="s">
        <v>234</v>
      </c>
      <c r="D253" s="218" t="s">
        <v>163</v>
      </c>
      <c r="E253" s="311">
        <v>910</v>
      </c>
      <c r="F253" s="311">
        <v>910</v>
      </c>
      <c r="G253" s="311">
        <v>1581</v>
      </c>
      <c r="H253" s="362">
        <f>G253</f>
        <v>1581</v>
      </c>
      <c r="I253" s="285">
        <f t="shared" si="11"/>
        <v>1.7373626373626374</v>
      </c>
      <c r="L253" s="192">
        <f>E253+F253</f>
        <v>1820</v>
      </c>
      <c r="N253" s="191"/>
    </row>
    <row r="254" spans="1:14">
      <c r="A254" s="233"/>
      <c r="B254" s="195"/>
      <c r="C254" s="217" t="s">
        <v>406</v>
      </c>
      <c r="D254" s="218" t="s">
        <v>164</v>
      </c>
      <c r="E254" s="311">
        <v>58248</v>
      </c>
      <c r="F254" s="311">
        <f>E254</f>
        <v>58248</v>
      </c>
      <c r="G254" s="311">
        <v>16800</v>
      </c>
      <c r="H254" s="362">
        <f>G254</f>
        <v>16800</v>
      </c>
      <c r="I254" s="285">
        <f t="shared" si="11"/>
        <v>0.28842192006592499</v>
      </c>
      <c r="L254" s="192"/>
      <c r="N254" s="191"/>
    </row>
    <row r="255" spans="1:14">
      <c r="A255" s="233"/>
      <c r="B255" s="197"/>
      <c r="C255" s="217" t="s">
        <v>407</v>
      </c>
      <c r="D255" s="218" t="s">
        <v>11</v>
      </c>
      <c r="E255" s="311">
        <v>32700</v>
      </c>
      <c r="F255" s="311">
        <f t="shared" ref="F255:F261" si="12">E255</f>
        <v>32700</v>
      </c>
      <c r="G255" s="311">
        <v>9300</v>
      </c>
      <c r="H255" s="362">
        <f t="shared" ref="H255:H263" si="13">G255</f>
        <v>9300</v>
      </c>
      <c r="I255" s="285">
        <f t="shared" si="11"/>
        <v>0.28440366972477066</v>
      </c>
    </row>
    <row r="256" spans="1:14">
      <c r="A256" s="233"/>
      <c r="B256" s="197"/>
      <c r="C256" s="217" t="s">
        <v>408</v>
      </c>
      <c r="D256" s="218" t="s">
        <v>11</v>
      </c>
      <c r="E256" s="311">
        <v>108000</v>
      </c>
      <c r="F256" s="311">
        <f t="shared" si="12"/>
        <v>108000</v>
      </c>
      <c r="G256" s="311">
        <v>27000</v>
      </c>
      <c r="H256" s="362">
        <f t="shared" si="13"/>
        <v>27000</v>
      </c>
      <c r="I256" s="285">
        <f t="shared" si="11"/>
        <v>0.25</v>
      </c>
      <c r="L256" s="192"/>
    </row>
    <row r="257" spans="1:14">
      <c r="A257" s="233"/>
      <c r="B257" s="195"/>
      <c r="C257" s="217" t="s">
        <v>409</v>
      </c>
      <c r="D257" s="218" t="s">
        <v>13</v>
      </c>
      <c r="E257" s="311">
        <v>15700</v>
      </c>
      <c r="F257" s="311">
        <f t="shared" si="12"/>
        <v>15700</v>
      </c>
      <c r="G257" s="311">
        <v>650</v>
      </c>
      <c r="H257" s="362">
        <f t="shared" si="13"/>
        <v>650</v>
      </c>
      <c r="I257" s="285">
        <f t="shared" si="11"/>
        <v>4.1401273885350316E-2</v>
      </c>
      <c r="L257" s="192"/>
    </row>
    <row r="258" spans="1:14" ht="22.5">
      <c r="A258" s="233"/>
      <c r="B258" s="195"/>
      <c r="C258" s="217" t="s">
        <v>410</v>
      </c>
      <c r="D258" s="218" t="s">
        <v>188</v>
      </c>
      <c r="E258" s="311">
        <v>1400</v>
      </c>
      <c r="F258" s="311">
        <f t="shared" si="12"/>
        <v>1400</v>
      </c>
      <c r="G258" s="311">
        <v>300</v>
      </c>
      <c r="H258" s="362">
        <f t="shared" si="13"/>
        <v>300</v>
      </c>
      <c r="I258" s="285">
        <f t="shared" si="11"/>
        <v>0.21428571428571427</v>
      </c>
    </row>
    <row r="259" spans="1:14">
      <c r="A259" s="233"/>
      <c r="B259" s="195"/>
      <c r="C259" s="217" t="s">
        <v>411</v>
      </c>
      <c r="D259" s="218" t="s">
        <v>25</v>
      </c>
      <c r="E259" s="311">
        <v>3000</v>
      </c>
      <c r="F259" s="311">
        <f t="shared" si="12"/>
        <v>3000</v>
      </c>
      <c r="G259" s="311">
        <v>750</v>
      </c>
      <c r="H259" s="362">
        <f t="shared" si="13"/>
        <v>750</v>
      </c>
      <c r="I259" s="285">
        <f t="shared" si="11"/>
        <v>0.25</v>
      </c>
    </row>
    <row r="260" spans="1:14" ht="22.5">
      <c r="A260" s="233"/>
      <c r="B260" s="195"/>
      <c r="C260" s="217" t="s">
        <v>206</v>
      </c>
      <c r="D260" s="218" t="s">
        <v>207</v>
      </c>
      <c r="E260" s="311"/>
      <c r="F260" s="311"/>
      <c r="G260" s="311">
        <v>5000</v>
      </c>
      <c r="H260" s="362">
        <f t="shared" si="13"/>
        <v>5000</v>
      </c>
      <c r="I260" s="285"/>
    </row>
    <row r="261" spans="1:14" ht="22.5">
      <c r="A261" s="233"/>
      <c r="B261" s="195"/>
      <c r="C261" s="217" t="s">
        <v>480</v>
      </c>
      <c r="D261" s="218" t="s">
        <v>207</v>
      </c>
      <c r="E261" s="311">
        <v>12400</v>
      </c>
      <c r="F261" s="311">
        <f t="shared" si="12"/>
        <v>12400</v>
      </c>
      <c r="G261" s="311">
        <v>2710</v>
      </c>
      <c r="H261" s="362">
        <f t="shared" si="13"/>
        <v>2710</v>
      </c>
      <c r="I261" s="285">
        <f t="shared" si="11"/>
        <v>0.21854838709677418</v>
      </c>
    </row>
    <row r="262" spans="1:14" hidden="1">
      <c r="A262" s="233"/>
      <c r="B262" s="195"/>
      <c r="C262" s="217" t="s">
        <v>180</v>
      </c>
      <c r="D262" s="218" t="s">
        <v>160</v>
      </c>
      <c r="E262" s="311"/>
      <c r="F262" s="311"/>
      <c r="G262" s="311"/>
      <c r="H262" s="311">
        <f t="shared" si="13"/>
        <v>0</v>
      </c>
      <c r="I262" s="211" t="e">
        <f t="shared" si="10"/>
        <v>#DIV/0!</v>
      </c>
    </row>
    <row r="263" spans="1:14" hidden="1">
      <c r="A263" s="233"/>
      <c r="B263" s="195"/>
      <c r="C263" s="217" t="s">
        <v>314</v>
      </c>
      <c r="D263" s="218" t="s">
        <v>160</v>
      </c>
      <c r="E263" s="311"/>
      <c r="F263" s="311"/>
      <c r="G263" s="311"/>
      <c r="H263" s="311">
        <f t="shared" si="13"/>
        <v>0</v>
      </c>
      <c r="I263" s="211" t="e">
        <f t="shared" si="10"/>
        <v>#DIV/0!</v>
      </c>
    </row>
    <row r="264" spans="1:14">
      <c r="A264" s="273"/>
      <c r="B264" s="216">
        <v>80110</v>
      </c>
      <c r="C264" s="229"/>
      <c r="D264" s="205" t="s">
        <v>47</v>
      </c>
      <c r="E264" s="313">
        <f>SUM(E265:E285)</f>
        <v>1820580</v>
      </c>
      <c r="F264" s="313">
        <f>SUM(F265:F286)</f>
        <v>1836815</v>
      </c>
      <c r="G264" s="313">
        <f>SUM(G265:G286)</f>
        <v>1848788</v>
      </c>
      <c r="H264" s="313"/>
      <c r="I264" s="241">
        <f t="shared" si="10"/>
        <v>1.0065183483366589</v>
      </c>
    </row>
    <row r="265" spans="1:14">
      <c r="A265" s="233"/>
      <c r="B265" s="197"/>
      <c r="C265" s="217" t="s">
        <v>195</v>
      </c>
      <c r="D265" s="218" t="s">
        <v>196</v>
      </c>
      <c r="E265" s="311">
        <v>97420</v>
      </c>
      <c r="F265" s="319">
        <v>100700</v>
      </c>
      <c r="G265" s="311">
        <v>99900</v>
      </c>
      <c r="H265" s="311"/>
      <c r="I265" s="211">
        <f t="shared" si="10"/>
        <v>0.99205561072492554</v>
      </c>
      <c r="L265" s="192">
        <f>E266+E267+E268+E271+E269</f>
        <v>1559840</v>
      </c>
      <c r="M265" s="192">
        <f>F266+F267+F268+F271+F269</f>
        <v>1574235</v>
      </c>
      <c r="N265" s="191">
        <f>M265/L265</f>
        <v>1.0092285106164736</v>
      </c>
    </row>
    <row r="266" spans="1:14">
      <c r="A266" s="233"/>
      <c r="B266" s="197"/>
      <c r="C266" s="217" t="s">
        <v>197</v>
      </c>
      <c r="D266" s="218" t="s">
        <v>184</v>
      </c>
      <c r="E266" s="311">
        <v>1210080</v>
      </c>
      <c r="F266" s="319">
        <v>1228600</v>
      </c>
      <c r="G266" s="311">
        <v>1238000</v>
      </c>
      <c r="H266" s="311"/>
      <c r="I266" s="211">
        <f t="shared" si="10"/>
        <v>1.0076509848608173</v>
      </c>
      <c r="N266" s="191"/>
    </row>
    <row r="267" spans="1:14">
      <c r="A267" s="233"/>
      <c r="B267" s="197"/>
      <c r="C267" s="217" t="s">
        <v>198</v>
      </c>
      <c r="D267" s="218" t="s">
        <v>185</v>
      </c>
      <c r="E267" s="311">
        <v>96920</v>
      </c>
      <c r="F267" s="319">
        <v>95488</v>
      </c>
      <c r="G267" s="311">
        <v>104400</v>
      </c>
      <c r="H267" s="311"/>
      <c r="I267" s="211">
        <f t="shared" si="10"/>
        <v>1.0933310991957104</v>
      </c>
      <c r="L267" s="192">
        <f>E264-E265-L265-E282</f>
        <v>88750</v>
      </c>
      <c r="M267" s="192">
        <f>F264-F265-M265-F282</f>
        <v>87310</v>
      </c>
      <c r="N267" s="191">
        <f>M267/L267</f>
        <v>0.98377464788732394</v>
      </c>
    </row>
    <row r="268" spans="1:14">
      <c r="A268" s="233"/>
      <c r="B268" s="197"/>
      <c r="C268" s="217" t="s">
        <v>170</v>
      </c>
      <c r="D268" s="218" t="s">
        <v>45</v>
      </c>
      <c r="E268" s="311">
        <v>213240</v>
      </c>
      <c r="F268" s="319">
        <v>214358</v>
      </c>
      <c r="G268" s="311">
        <v>220000</v>
      </c>
      <c r="H268" s="311"/>
      <c r="I268" s="211">
        <f t="shared" si="10"/>
        <v>1.0263204545666595</v>
      </c>
      <c r="L268" s="192"/>
      <c r="N268" s="191"/>
    </row>
    <row r="269" spans="1:14">
      <c r="A269" s="233"/>
      <c r="B269" s="197"/>
      <c r="C269" s="217" t="s">
        <v>171</v>
      </c>
      <c r="D269" s="218" t="s">
        <v>163</v>
      </c>
      <c r="E269" s="311">
        <v>34400</v>
      </c>
      <c r="F269" s="319">
        <v>34574</v>
      </c>
      <c r="G269" s="311">
        <v>35500</v>
      </c>
      <c r="H269" s="311"/>
      <c r="I269" s="211">
        <f t="shared" si="10"/>
        <v>1.0267831318331695</v>
      </c>
      <c r="L269" s="192"/>
      <c r="N269" s="191"/>
    </row>
    <row r="270" spans="1:14" ht="22.5">
      <c r="A270" s="233"/>
      <c r="B270" s="197"/>
      <c r="C270" s="301" t="s">
        <v>199</v>
      </c>
      <c r="D270" s="302" t="s">
        <v>200</v>
      </c>
      <c r="E270" s="311">
        <v>1000</v>
      </c>
      <c r="F270" s="319">
        <v>1000</v>
      </c>
      <c r="G270" s="311">
        <v>3840</v>
      </c>
      <c r="H270" s="311"/>
      <c r="I270" s="211">
        <f t="shared" si="10"/>
        <v>3.84</v>
      </c>
      <c r="L270" s="192"/>
      <c r="N270" s="191"/>
    </row>
    <row r="271" spans="1:14">
      <c r="A271" s="233"/>
      <c r="B271" s="197"/>
      <c r="C271" s="217" t="s">
        <v>172</v>
      </c>
      <c r="D271" s="218" t="s">
        <v>164</v>
      </c>
      <c r="E271" s="311">
        <v>5200</v>
      </c>
      <c r="F271" s="319">
        <v>1215</v>
      </c>
      <c r="G271" s="311">
        <v>1500</v>
      </c>
      <c r="H271" s="311"/>
      <c r="I271" s="211">
        <f t="shared" si="10"/>
        <v>1.2345679012345678</v>
      </c>
    </row>
    <row r="272" spans="1:14">
      <c r="A272" s="233"/>
      <c r="B272" s="197"/>
      <c r="C272" s="217" t="s">
        <v>173</v>
      </c>
      <c r="D272" s="218" t="s">
        <v>11</v>
      </c>
      <c r="E272" s="311">
        <v>20370</v>
      </c>
      <c r="F272" s="319">
        <v>20370</v>
      </c>
      <c r="G272" s="311">
        <v>26500</v>
      </c>
      <c r="H272" s="311"/>
      <c r="I272" s="211">
        <f t="shared" si="10"/>
        <v>1.3009327442317133</v>
      </c>
    </row>
    <row r="273" spans="1:14" ht="22.5">
      <c r="A273" s="233"/>
      <c r="B273" s="197"/>
      <c r="C273" s="217" t="s">
        <v>227</v>
      </c>
      <c r="D273" s="218" t="s">
        <v>228</v>
      </c>
      <c r="E273" s="311">
        <v>5000</v>
      </c>
      <c r="F273" s="319">
        <v>5000</v>
      </c>
      <c r="G273" s="311">
        <v>3000</v>
      </c>
      <c r="H273" s="311"/>
      <c r="I273" s="211">
        <f t="shared" si="10"/>
        <v>0.6</v>
      </c>
      <c r="L273" s="192"/>
      <c r="N273" s="191"/>
    </row>
    <row r="274" spans="1:14">
      <c r="A274" s="233"/>
      <c r="B274" s="197"/>
      <c r="C274" s="217" t="s">
        <v>181</v>
      </c>
      <c r="D274" s="218" t="s">
        <v>24</v>
      </c>
      <c r="E274" s="311">
        <v>21500</v>
      </c>
      <c r="F274" s="319">
        <v>21500</v>
      </c>
      <c r="G274" s="311">
        <v>15000</v>
      </c>
      <c r="H274" s="311"/>
      <c r="I274" s="211">
        <f t="shared" si="10"/>
        <v>0.69767441860465118</v>
      </c>
    </row>
    <row r="275" spans="1:14">
      <c r="A275" s="233"/>
      <c r="B275" s="197"/>
      <c r="C275" s="217" t="s">
        <v>179</v>
      </c>
      <c r="D275" s="218" t="s">
        <v>21</v>
      </c>
      <c r="E275" s="311">
        <v>2500</v>
      </c>
      <c r="F275" s="319">
        <v>2500</v>
      </c>
      <c r="G275" s="311">
        <v>2000</v>
      </c>
      <c r="H275" s="311"/>
      <c r="I275" s="211">
        <f t="shared" si="10"/>
        <v>0.8</v>
      </c>
    </row>
    <row r="276" spans="1:14">
      <c r="A276" s="233"/>
      <c r="B276" s="197"/>
      <c r="C276" s="217" t="s">
        <v>201</v>
      </c>
      <c r="D276" s="218" t="s">
        <v>37</v>
      </c>
      <c r="E276" s="311">
        <v>2000</v>
      </c>
      <c r="F276" s="319">
        <v>2000</v>
      </c>
      <c r="G276" s="311">
        <v>1500</v>
      </c>
      <c r="H276" s="311"/>
      <c r="I276" s="211">
        <f t="shared" si="10"/>
        <v>0.75</v>
      </c>
      <c r="L276" s="192"/>
    </row>
    <row r="277" spans="1:14">
      <c r="A277" s="233"/>
      <c r="B277" s="197"/>
      <c r="C277" s="217" t="s">
        <v>174</v>
      </c>
      <c r="D277" s="218" t="s">
        <v>13</v>
      </c>
      <c r="E277" s="311">
        <v>17140</v>
      </c>
      <c r="F277" s="319">
        <v>17140</v>
      </c>
      <c r="G277" s="311">
        <v>14000</v>
      </c>
      <c r="H277" s="311"/>
      <c r="I277" s="211">
        <f t="shared" si="10"/>
        <v>0.81680280046674447</v>
      </c>
    </row>
    <row r="278" spans="1:14">
      <c r="A278" s="233"/>
      <c r="B278" s="197"/>
      <c r="C278" s="217" t="s">
        <v>202</v>
      </c>
      <c r="D278" s="218" t="s">
        <v>33</v>
      </c>
      <c r="E278" s="311">
        <v>500</v>
      </c>
      <c r="F278" s="319">
        <v>500</v>
      </c>
      <c r="G278" s="311">
        <v>500</v>
      </c>
      <c r="H278" s="311"/>
      <c r="I278" s="211">
        <f t="shared" si="10"/>
        <v>1</v>
      </c>
    </row>
    <row r="279" spans="1:14" ht="22.5">
      <c r="A279" s="233"/>
      <c r="B279" s="197"/>
      <c r="C279" s="217" t="s">
        <v>203</v>
      </c>
      <c r="D279" s="218" t="s">
        <v>204</v>
      </c>
      <c r="E279" s="311">
        <v>5040</v>
      </c>
      <c r="F279" s="319">
        <v>3600</v>
      </c>
      <c r="G279" s="311">
        <v>3840</v>
      </c>
      <c r="H279" s="311"/>
      <c r="I279" s="211">
        <f t="shared" si="10"/>
        <v>1.0666666666666667</v>
      </c>
    </row>
    <row r="280" spans="1:14">
      <c r="A280" s="233"/>
      <c r="B280" s="197"/>
      <c r="C280" s="217" t="s">
        <v>175</v>
      </c>
      <c r="D280" s="218" t="s">
        <v>25</v>
      </c>
      <c r="E280" s="311">
        <v>4200</v>
      </c>
      <c r="F280" s="319">
        <v>4200</v>
      </c>
      <c r="G280" s="311">
        <v>4500</v>
      </c>
      <c r="H280" s="311"/>
      <c r="I280" s="211">
        <f t="shared" ref="I280:I343" si="14">G280/F280</f>
        <v>1.0714285714285714</v>
      </c>
    </row>
    <row r="281" spans="1:14">
      <c r="A281" s="233"/>
      <c r="B281" s="197"/>
      <c r="C281" s="217" t="s">
        <v>176</v>
      </c>
      <c r="D281" s="218" t="s">
        <v>26</v>
      </c>
      <c r="E281" s="311">
        <v>4000</v>
      </c>
      <c r="F281" s="319">
        <v>4000</v>
      </c>
      <c r="G281" s="311">
        <v>4000</v>
      </c>
      <c r="H281" s="311"/>
      <c r="I281" s="211">
        <f t="shared" si="14"/>
        <v>1</v>
      </c>
    </row>
    <row r="282" spans="1:14" ht="22.5">
      <c r="A282" s="233"/>
      <c r="B282" s="197"/>
      <c r="C282" s="217" t="s">
        <v>206</v>
      </c>
      <c r="D282" s="218" t="s">
        <v>207</v>
      </c>
      <c r="E282" s="311">
        <v>74570</v>
      </c>
      <c r="F282" s="319">
        <v>74570</v>
      </c>
      <c r="G282" s="311">
        <v>69308</v>
      </c>
      <c r="H282" s="311"/>
      <c r="I282" s="211">
        <f t="shared" si="14"/>
        <v>0.92943542979750571</v>
      </c>
    </row>
    <row r="283" spans="1:14" ht="22.5">
      <c r="A283" s="233"/>
      <c r="B283" s="197"/>
      <c r="C283" s="217" t="s">
        <v>193</v>
      </c>
      <c r="D283" s="218" t="s">
        <v>189</v>
      </c>
      <c r="E283" s="311">
        <v>1500</v>
      </c>
      <c r="F283" s="319">
        <v>1500</v>
      </c>
      <c r="G283" s="311">
        <v>1500</v>
      </c>
      <c r="H283" s="311"/>
      <c r="I283" s="211">
        <f t="shared" si="14"/>
        <v>1</v>
      </c>
    </row>
    <row r="284" spans="1:14" ht="22.5">
      <c r="A284" s="233"/>
      <c r="B284" s="197"/>
      <c r="C284" s="217" t="s">
        <v>194</v>
      </c>
      <c r="D284" s="218" t="s">
        <v>190</v>
      </c>
      <c r="E284" s="311">
        <v>2000</v>
      </c>
      <c r="F284" s="319">
        <v>2000</v>
      </c>
      <c r="G284" s="319"/>
      <c r="H284" s="344"/>
      <c r="I284" s="211">
        <f t="shared" si="14"/>
        <v>0</v>
      </c>
    </row>
    <row r="285" spans="1:14" ht="22.5">
      <c r="A285" s="233"/>
      <c r="B285" s="197"/>
      <c r="C285" s="217" t="s">
        <v>208</v>
      </c>
      <c r="D285" s="218" t="s">
        <v>186</v>
      </c>
      <c r="E285" s="311">
        <v>2000</v>
      </c>
      <c r="F285" s="319">
        <v>2000</v>
      </c>
      <c r="G285" s="319"/>
      <c r="H285" s="344"/>
      <c r="I285" s="211">
        <f t="shared" si="14"/>
        <v>0</v>
      </c>
    </row>
    <row r="286" spans="1:14" ht="22.5" hidden="1">
      <c r="A286" s="233"/>
      <c r="B286" s="197"/>
      <c r="C286" s="217" t="s">
        <v>182</v>
      </c>
      <c r="D286" s="218" t="s">
        <v>34</v>
      </c>
      <c r="E286" s="311"/>
      <c r="F286" s="311"/>
      <c r="G286" s="311"/>
      <c r="H286" s="311"/>
      <c r="I286" s="211" t="e">
        <f t="shared" si="14"/>
        <v>#DIV/0!</v>
      </c>
    </row>
    <row r="287" spans="1:14">
      <c r="A287" s="204"/>
      <c r="B287" s="216">
        <v>80113</v>
      </c>
      <c r="C287" s="239"/>
      <c r="D287" s="205" t="s">
        <v>243</v>
      </c>
      <c r="E287" s="313">
        <f>SUM(E288:E301)</f>
        <v>735481</v>
      </c>
      <c r="F287" s="313">
        <f>SUM(F288:F301)</f>
        <v>679940</v>
      </c>
      <c r="G287" s="313">
        <f>SUM(G288:G301)</f>
        <v>703884</v>
      </c>
      <c r="H287" s="313"/>
      <c r="I287" s="241">
        <f t="shared" si="14"/>
        <v>1.0352148719004619</v>
      </c>
    </row>
    <row r="288" spans="1:14">
      <c r="A288" s="233"/>
      <c r="B288" s="197"/>
      <c r="C288" s="217" t="s">
        <v>195</v>
      </c>
      <c r="D288" s="218" t="s">
        <v>196</v>
      </c>
      <c r="E288" s="311">
        <v>290</v>
      </c>
      <c r="F288" s="311">
        <v>290</v>
      </c>
      <c r="G288" s="311">
        <v>300</v>
      </c>
      <c r="H288" s="311"/>
      <c r="I288" s="211">
        <f t="shared" si="14"/>
        <v>1.0344827586206897</v>
      </c>
    </row>
    <row r="289" spans="1:14" s="212" customFormat="1">
      <c r="A289" s="195"/>
      <c r="B289" s="197"/>
      <c r="C289" s="217" t="s">
        <v>197</v>
      </c>
      <c r="D289" s="218" t="s">
        <v>184</v>
      </c>
      <c r="E289" s="311">
        <v>198500</v>
      </c>
      <c r="F289" s="311">
        <v>160000</v>
      </c>
      <c r="G289" s="311">
        <v>174000</v>
      </c>
      <c r="H289" s="311"/>
      <c r="I289" s="211">
        <f t="shared" si="14"/>
        <v>1.0874999999999999</v>
      </c>
      <c r="L289" s="213"/>
      <c r="M289" s="213"/>
      <c r="N289" s="274"/>
    </row>
    <row r="290" spans="1:14">
      <c r="A290" s="195"/>
      <c r="B290" s="195"/>
      <c r="C290" s="217" t="s">
        <v>198</v>
      </c>
      <c r="D290" s="218" t="s">
        <v>185</v>
      </c>
      <c r="E290" s="311">
        <v>15100</v>
      </c>
      <c r="F290" s="311">
        <v>7950</v>
      </c>
      <c r="G290" s="311">
        <v>13600</v>
      </c>
      <c r="H290" s="311"/>
      <c r="I290" s="211">
        <f t="shared" si="14"/>
        <v>1.7106918238993711</v>
      </c>
    </row>
    <row r="291" spans="1:14">
      <c r="A291" s="195"/>
      <c r="B291" s="195"/>
      <c r="C291" s="217" t="s">
        <v>170</v>
      </c>
      <c r="D291" s="218" t="s">
        <v>45</v>
      </c>
      <c r="E291" s="311">
        <v>26960</v>
      </c>
      <c r="F291" s="311">
        <v>25500</v>
      </c>
      <c r="G291" s="311">
        <v>26564</v>
      </c>
      <c r="H291" s="311"/>
      <c r="I291" s="211">
        <f t="shared" si="14"/>
        <v>1.0417254901960784</v>
      </c>
      <c r="L291" s="192">
        <f>E289+E290+E291+E292+E293</f>
        <v>251391</v>
      </c>
      <c r="M291" s="192">
        <f>F289+F290+F291+F292+F293</f>
        <v>200950</v>
      </c>
      <c r="N291" s="191">
        <f>M291/L291</f>
        <v>0.79935240322843693</v>
      </c>
    </row>
    <row r="292" spans="1:14">
      <c r="A292" s="195"/>
      <c r="B292" s="195"/>
      <c r="C292" s="217" t="s">
        <v>171</v>
      </c>
      <c r="D292" s="218" t="s">
        <v>163</v>
      </c>
      <c r="E292" s="311">
        <v>4831</v>
      </c>
      <c r="F292" s="311">
        <v>4000</v>
      </c>
      <c r="G292" s="311">
        <v>4200</v>
      </c>
      <c r="H292" s="311"/>
      <c r="I292" s="211">
        <f t="shared" si="14"/>
        <v>1.05</v>
      </c>
      <c r="N292" s="191"/>
    </row>
    <row r="293" spans="1:14">
      <c r="A293" s="195"/>
      <c r="B293" s="195"/>
      <c r="C293" s="217" t="s">
        <v>172</v>
      </c>
      <c r="D293" s="218" t="s">
        <v>164</v>
      </c>
      <c r="E293" s="311">
        <v>6000</v>
      </c>
      <c r="F293" s="311">
        <v>3500</v>
      </c>
      <c r="G293" s="311">
        <v>5000</v>
      </c>
      <c r="H293" s="311"/>
      <c r="I293" s="211">
        <f t="shared" si="14"/>
        <v>1.4285714285714286</v>
      </c>
      <c r="L293" s="192">
        <f>E287-L291-E288</f>
        <v>483800</v>
      </c>
      <c r="M293" s="192">
        <f>F287-M291-F288</f>
        <v>478700</v>
      </c>
      <c r="N293" s="191">
        <f>M293/L293</f>
        <v>0.98945845390657294</v>
      </c>
    </row>
    <row r="294" spans="1:14">
      <c r="A294" s="195"/>
      <c r="B294" s="195"/>
      <c r="C294" s="217" t="s">
        <v>173</v>
      </c>
      <c r="D294" s="218" t="s">
        <v>11</v>
      </c>
      <c r="E294" s="311">
        <v>39000</v>
      </c>
      <c r="F294" s="311">
        <f>E294</f>
        <v>39000</v>
      </c>
      <c r="G294" s="311">
        <v>40000</v>
      </c>
      <c r="H294" s="311"/>
      <c r="I294" s="211">
        <f t="shared" si="14"/>
        <v>1.0256410256410255</v>
      </c>
    </row>
    <row r="295" spans="1:14" s="212" customFormat="1">
      <c r="A295" s="195"/>
      <c r="B295" s="195"/>
      <c r="C295" s="217" t="s">
        <v>179</v>
      </c>
      <c r="D295" s="218" t="s">
        <v>21</v>
      </c>
      <c r="E295" s="311">
        <v>6000</v>
      </c>
      <c r="F295" s="311">
        <f>E295</f>
        <v>6000</v>
      </c>
      <c r="G295" s="311">
        <v>7000</v>
      </c>
      <c r="H295" s="311"/>
      <c r="I295" s="211">
        <f t="shared" si="14"/>
        <v>1.1666666666666667</v>
      </c>
      <c r="M295" s="213"/>
      <c r="N295" s="213"/>
    </row>
    <row r="296" spans="1:14" s="212" customFormat="1">
      <c r="A296" s="195"/>
      <c r="B296" s="195"/>
      <c r="C296" s="217" t="s">
        <v>201</v>
      </c>
      <c r="D296" s="218" t="s">
        <v>37</v>
      </c>
      <c r="E296" s="311">
        <v>1000</v>
      </c>
      <c r="F296" s="311">
        <v>500</v>
      </c>
      <c r="G296" s="311">
        <v>1000</v>
      </c>
      <c r="H296" s="311"/>
      <c r="I296" s="211">
        <f t="shared" si="14"/>
        <v>2</v>
      </c>
      <c r="M296" s="213"/>
      <c r="N296" s="213"/>
    </row>
    <row r="297" spans="1:14" s="212" customFormat="1">
      <c r="A297" s="195"/>
      <c r="B297" s="195"/>
      <c r="C297" s="217" t="s">
        <v>174</v>
      </c>
      <c r="D297" s="218" t="s">
        <v>13</v>
      </c>
      <c r="E297" s="311">
        <v>413500</v>
      </c>
      <c r="F297" s="311">
        <f>E297</f>
        <v>413500</v>
      </c>
      <c r="G297" s="311">
        <v>413500</v>
      </c>
      <c r="H297" s="311"/>
      <c r="I297" s="211">
        <f t="shared" si="14"/>
        <v>1</v>
      </c>
      <c r="M297" s="213"/>
      <c r="N297" s="213"/>
    </row>
    <row r="298" spans="1:14" ht="22.5">
      <c r="A298" s="195"/>
      <c r="B298" s="195"/>
      <c r="C298" s="217" t="s">
        <v>192</v>
      </c>
      <c r="D298" s="218" t="s">
        <v>188</v>
      </c>
      <c r="E298" s="311">
        <v>1000</v>
      </c>
      <c r="F298" s="311">
        <v>900</v>
      </c>
      <c r="G298" s="311">
        <v>1000</v>
      </c>
      <c r="H298" s="311"/>
      <c r="I298" s="211">
        <f t="shared" si="14"/>
        <v>1.1111111111111112</v>
      </c>
    </row>
    <row r="299" spans="1:14">
      <c r="A299" s="195"/>
      <c r="B299" s="195"/>
      <c r="C299" s="217" t="s">
        <v>175</v>
      </c>
      <c r="D299" s="218" t="s">
        <v>25</v>
      </c>
      <c r="E299" s="311">
        <v>500</v>
      </c>
      <c r="F299" s="311">
        <v>0</v>
      </c>
      <c r="G299" s="311">
        <v>500</v>
      </c>
      <c r="H299" s="311"/>
      <c r="I299" s="211" t="e">
        <f t="shared" si="14"/>
        <v>#DIV/0!</v>
      </c>
      <c r="L299" s="192"/>
    </row>
    <row r="300" spans="1:14">
      <c r="A300" s="195"/>
      <c r="B300" s="195"/>
      <c r="C300" s="217" t="s">
        <v>176</v>
      </c>
      <c r="D300" s="218" t="s">
        <v>26</v>
      </c>
      <c r="E300" s="311">
        <v>12000</v>
      </c>
      <c r="F300" s="311">
        <v>8000</v>
      </c>
      <c r="G300" s="311">
        <v>8000</v>
      </c>
      <c r="H300" s="311"/>
      <c r="I300" s="211">
        <f t="shared" si="14"/>
        <v>1</v>
      </c>
    </row>
    <row r="301" spans="1:14" ht="22.5">
      <c r="A301" s="195"/>
      <c r="B301" s="195"/>
      <c r="C301" s="217" t="s">
        <v>206</v>
      </c>
      <c r="D301" s="218" t="s">
        <v>207</v>
      </c>
      <c r="E301" s="311">
        <v>10800</v>
      </c>
      <c r="F301" s="311">
        <v>10800</v>
      </c>
      <c r="G301" s="311">
        <v>9220</v>
      </c>
      <c r="H301" s="311"/>
      <c r="I301" s="211">
        <f t="shared" si="14"/>
        <v>0.85370370370370374</v>
      </c>
    </row>
    <row r="302" spans="1:14">
      <c r="A302" s="204"/>
      <c r="B302" s="204">
        <v>80146</v>
      </c>
      <c r="C302" s="229"/>
      <c r="D302" s="205" t="s">
        <v>244</v>
      </c>
      <c r="E302" s="313">
        <f>E303+E304</f>
        <v>26260</v>
      </c>
      <c r="F302" s="313">
        <f>SUM(F303:F304)</f>
        <v>25720</v>
      </c>
      <c r="G302" s="313">
        <f>SUM(G303:G304)</f>
        <v>30066</v>
      </c>
      <c r="H302" s="313"/>
      <c r="I302" s="241">
        <f t="shared" si="14"/>
        <v>1.1689735614307932</v>
      </c>
    </row>
    <row r="303" spans="1:14">
      <c r="A303" s="195"/>
      <c r="B303" s="194"/>
      <c r="C303" s="217" t="s">
        <v>175</v>
      </c>
      <c r="D303" s="218" t="s">
        <v>25</v>
      </c>
      <c r="E303" s="311">
        <v>2480</v>
      </c>
      <c r="F303" s="319">
        <v>2480</v>
      </c>
      <c r="G303" s="311">
        <v>2750</v>
      </c>
      <c r="H303" s="311"/>
      <c r="I303" s="211">
        <f t="shared" si="14"/>
        <v>1.1088709677419355</v>
      </c>
    </row>
    <row r="304" spans="1:14" ht="22.5">
      <c r="A304" s="270"/>
      <c r="B304" s="231"/>
      <c r="C304" s="253" t="s">
        <v>193</v>
      </c>
      <c r="D304" s="232" t="s">
        <v>189</v>
      </c>
      <c r="E304" s="319">
        <v>23780</v>
      </c>
      <c r="F304" s="319">
        <v>23240</v>
      </c>
      <c r="G304" s="319">
        <v>27316</v>
      </c>
      <c r="H304" s="319"/>
      <c r="I304" s="211">
        <f t="shared" si="14"/>
        <v>1.1753872633390705</v>
      </c>
    </row>
    <row r="305" spans="1:14" s="193" customFormat="1">
      <c r="A305" s="275"/>
      <c r="B305" s="275">
        <v>80148</v>
      </c>
      <c r="C305" s="255"/>
      <c r="D305" s="275" t="s">
        <v>145</v>
      </c>
      <c r="E305" s="326">
        <f>SUM(E306:E317)</f>
        <v>311964</v>
      </c>
      <c r="F305" s="326">
        <f>SUM(F306:F318)</f>
        <v>311459</v>
      </c>
      <c r="G305" s="326">
        <f>SUM(G306:G318)</f>
        <v>324579</v>
      </c>
      <c r="H305" s="326"/>
      <c r="I305" s="241">
        <f t="shared" si="14"/>
        <v>1.0421243245499408</v>
      </c>
      <c r="M305" s="207"/>
      <c r="N305" s="207"/>
    </row>
    <row r="306" spans="1:14">
      <c r="A306" s="195"/>
      <c r="B306" s="194"/>
      <c r="C306" s="214">
        <v>3020</v>
      </c>
      <c r="D306" s="276" t="s">
        <v>128</v>
      </c>
      <c r="E306" s="311">
        <v>2040</v>
      </c>
      <c r="F306" s="319">
        <v>1740</v>
      </c>
      <c r="G306" s="311">
        <v>2200</v>
      </c>
      <c r="H306" s="311"/>
      <c r="I306" s="211">
        <f t="shared" si="14"/>
        <v>1.264367816091954</v>
      </c>
      <c r="L306" s="192"/>
      <c r="M306" s="192">
        <f>F305-F318</f>
        <v>311459</v>
      </c>
      <c r="N306" s="191"/>
    </row>
    <row r="307" spans="1:14">
      <c r="A307" s="195"/>
      <c r="B307" s="194"/>
      <c r="C307" s="214">
        <v>4010</v>
      </c>
      <c r="D307" s="276" t="s">
        <v>29</v>
      </c>
      <c r="E307" s="311">
        <v>205830</v>
      </c>
      <c r="F307" s="319">
        <v>204000</v>
      </c>
      <c r="G307" s="311">
        <v>208100</v>
      </c>
      <c r="H307" s="311"/>
      <c r="I307" s="211">
        <f t="shared" si="14"/>
        <v>1.0200980392156862</v>
      </c>
      <c r="L307" s="192">
        <f>E307+E308+E309+E310+E311</f>
        <v>256070</v>
      </c>
      <c r="M307" s="192">
        <f>F307+F308+F309+F310+F311</f>
        <v>253380</v>
      </c>
      <c r="N307" s="191">
        <f>M307/L307</f>
        <v>0.98949505994454645</v>
      </c>
    </row>
    <row r="308" spans="1:14">
      <c r="A308" s="195"/>
      <c r="B308" s="194"/>
      <c r="C308" s="214">
        <v>4040</v>
      </c>
      <c r="D308" s="276" t="s">
        <v>30</v>
      </c>
      <c r="E308" s="311">
        <v>9680</v>
      </c>
      <c r="F308" s="319">
        <f>E308</f>
        <v>9680</v>
      </c>
      <c r="G308" s="311">
        <v>14900</v>
      </c>
      <c r="H308" s="311"/>
      <c r="I308" s="211">
        <f t="shared" si="14"/>
        <v>1.5392561983471074</v>
      </c>
      <c r="M308" s="191"/>
    </row>
    <row r="309" spans="1:14">
      <c r="A309" s="195"/>
      <c r="B309" s="194"/>
      <c r="C309" s="214">
        <v>4110</v>
      </c>
      <c r="D309" s="276" t="s">
        <v>45</v>
      </c>
      <c r="E309" s="311">
        <v>33360</v>
      </c>
      <c r="F309" s="319">
        <v>32700</v>
      </c>
      <c r="G309" s="311">
        <v>34200</v>
      </c>
      <c r="H309" s="311"/>
      <c r="I309" s="211">
        <f t="shared" si="14"/>
        <v>1.0458715596330275</v>
      </c>
    </row>
    <row r="310" spans="1:14">
      <c r="A310" s="195"/>
      <c r="B310" s="194"/>
      <c r="C310" s="214">
        <v>4120</v>
      </c>
      <c r="D310" s="276" t="s">
        <v>18</v>
      </c>
      <c r="E310" s="311">
        <v>5400</v>
      </c>
      <c r="F310" s="319">
        <v>5200</v>
      </c>
      <c r="G310" s="311">
        <v>5600</v>
      </c>
      <c r="H310" s="311"/>
      <c r="I310" s="211">
        <f t="shared" si="14"/>
        <v>1.0769230769230769</v>
      </c>
      <c r="L310" s="192">
        <f>E305-E306-L307-E318</f>
        <v>53854</v>
      </c>
      <c r="M310" s="192">
        <f>F305-M307-F306-F317-F318</f>
        <v>45270</v>
      </c>
      <c r="N310" s="191">
        <f>M310/L310</f>
        <v>0.84060608311360341</v>
      </c>
    </row>
    <row r="311" spans="1:14">
      <c r="A311" s="195"/>
      <c r="B311" s="194"/>
      <c r="C311" s="214">
        <v>4170</v>
      </c>
      <c r="D311" s="276" t="s">
        <v>127</v>
      </c>
      <c r="E311" s="311">
        <v>1800</v>
      </c>
      <c r="F311" s="319">
        <v>1800</v>
      </c>
      <c r="G311" s="311">
        <v>2300</v>
      </c>
      <c r="H311" s="311"/>
      <c r="I311" s="211">
        <f t="shared" si="14"/>
        <v>1.2777777777777777</v>
      </c>
      <c r="N311" s="191"/>
    </row>
    <row r="312" spans="1:14">
      <c r="A312" s="195"/>
      <c r="B312" s="194"/>
      <c r="C312" s="214">
        <v>4210</v>
      </c>
      <c r="D312" s="276" t="s">
        <v>11</v>
      </c>
      <c r="E312" s="311">
        <v>10800</v>
      </c>
      <c r="F312" s="319">
        <v>10400</v>
      </c>
      <c r="G312" s="311">
        <v>13500</v>
      </c>
      <c r="H312" s="311"/>
      <c r="I312" s="211">
        <f t="shared" si="14"/>
        <v>1.2980769230769231</v>
      </c>
    </row>
    <row r="313" spans="1:14">
      <c r="A313" s="195"/>
      <c r="B313" s="194"/>
      <c r="C313" s="214">
        <v>4260</v>
      </c>
      <c r="D313" s="276" t="s">
        <v>24</v>
      </c>
      <c r="E313" s="311">
        <v>25800</v>
      </c>
      <c r="F313" s="319">
        <v>25800</v>
      </c>
      <c r="G313" s="311">
        <v>25000</v>
      </c>
      <c r="H313" s="311"/>
      <c r="I313" s="211">
        <f t="shared" si="14"/>
        <v>0.96899224806201545</v>
      </c>
    </row>
    <row r="314" spans="1:14">
      <c r="A314" s="195"/>
      <c r="B314" s="194"/>
      <c r="C314" s="214">
        <v>4270</v>
      </c>
      <c r="D314" s="276" t="s">
        <v>56</v>
      </c>
      <c r="E314" s="311">
        <v>2000</v>
      </c>
      <c r="F314" s="319">
        <v>4520</v>
      </c>
      <c r="G314" s="311">
        <v>4500</v>
      </c>
      <c r="H314" s="311"/>
      <c r="I314" s="211">
        <f t="shared" si="14"/>
        <v>0.99557522123893805</v>
      </c>
      <c r="L314" s="192"/>
    </row>
    <row r="315" spans="1:14">
      <c r="A315" s="195"/>
      <c r="B315" s="194"/>
      <c r="C315" s="214">
        <v>4280</v>
      </c>
      <c r="D315" s="276" t="s">
        <v>37</v>
      </c>
      <c r="E315" s="311">
        <v>800</v>
      </c>
      <c r="F315" s="319">
        <v>1170</v>
      </c>
      <c r="G315" s="311">
        <v>1000</v>
      </c>
      <c r="H315" s="311"/>
      <c r="I315" s="211">
        <f t="shared" si="14"/>
        <v>0.85470085470085466</v>
      </c>
    </row>
    <row r="316" spans="1:14">
      <c r="A316" s="195"/>
      <c r="B316" s="194"/>
      <c r="C316" s="214">
        <v>4300</v>
      </c>
      <c r="D316" s="276" t="s">
        <v>13</v>
      </c>
      <c r="E316" s="311">
        <v>3380</v>
      </c>
      <c r="F316" s="319">
        <f>E316</f>
        <v>3380</v>
      </c>
      <c r="G316" s="311">
        <v>3400</v>
      </c>
      <c r="H316" s="311"/>
      <c r="I316" s="211">
        <f t="shared" si="14"/>
        <v>1.0059171597633136</v>
      </c>
    </row>
    <row r="317" spans="1:14">
      <c r="A317" s="195"/>
      <c r="B317" s="194"/>
      <c r="C317" s="214">
        <v>4440</v>
      </c>
      <c r="D317" s="277" t="s">
        <v>53</v>
      </c>
      <c r="E317" s="311">
        <v>11074</v>
      </c>
      <c r="F317" s="319">
        <v>11069</v>
      </c>
      <c r="G317" s="311">
        <v>9879</v>
      </c>
      <c r="H317" s="311"/>
      <c r="I317" s="211">
        <f t="shared" si="14"/>
        <v>0.89249254675219081</v>
      </c>
    </row>
    <row r="318" spans="1:14" hidden="1">
      <c r="A318" s="195"/>
      <c r="B318" s="194"/>
      <c r="C318" s="214">
        <v>6060</v>
      </c>
      <c r="D318" s="276" t="s">
        <v>129</v>
      </c>
      <c r="E318" s="311"/>
      <c r="F318" s="311"/>
      <c r="G318" s="311"/>
      <c r="H318" s="311"/>
      <c r="I318" s="211" t="e">
        <f t="shared" si="14"/>
        <v>#DIV/0!</v>
      </c>
    </row>
    <row r="319" spans="1:14">
      <c r="A319" s="204"/>
      <c r="B319" s="216">
        <v>80195</v>
      </c>
      <c r="C319" s="229"/>
      <c r="D319" s="205" t="s">
        <v>17</v>
      </c>
      <c r="E319" s="313">
        <f>SUM(E320:E323)</f>
        <v>73386</v>
      </c>
      <c r="F319" s="313">
        <f>SUM(F320:F323)</f>
        <v>59886</v>
      </c>
      <c r="G319" s="313">
        <f>SUM(G320:G323)</f>
        <v>68132</v>
      </c>
      <c r="H319" s="313">
        <f>SUM(H320:H323)</f>
        <v>0</v>
      </c>
      <c r="I319" s="241">
        <f t="shared" si="14"/>
        <v>1.1376949537454497</v>
      </c>
    </row>
    <row r="320" spans="1:14">
      <c r="A320" s="195"/>
      <c r="B320" s="197"/>
      <c r="C320" s="217" t="s">
        <v>172</v>
      </c>
      <c r="D320" s="218" t="s">
        <v>164</v>
      </c>
      <c r="E320" s="311">
        <v>500</v>
      </c>
      <c r="F320" s="311"/>
      <c r="G320" s="311"/>
      <c r="H320" s="311"/>
      <c r="I320" s="211" t="e">
        <f t="shared" si="14"/>
        <v>#DIV/0!</v>
      </c>
    </row>
    <row r="321" spans="1:14">
      <c r="A321" s="195"/>
      <c r="B321" s="197"/>
      <c r="C321" s="217" t="s">
        <v>173</v>
      </c>
      <c r="D321" s="218" t="s">
        <v>11</v>
      </c>
      <c r="E321" s="311">
        <v>7000</v>
      </c>
      <c r="F321" s="311"/>
      <c r="G321" s="311">
        <v>2000</v>
      </c>
      <c r="H321" s="311"/>
      <c r="I321" s="211" t="e">
        <f t="shared" si="14"/>
        <v>#DIV/0!</v>
      </c>
    </row>
    <row r="322" spans="1:14">
      <c r="A322" s="195"/>
      <c r="B322" s="197"/>
      <c r="C322" s="217" t="s">
        <v>174</v>
      </c>
      <c r="D322" s="218" t="s">
        <v>13</v>
      </c>
      <c r="E322" s="311">
        <v>6000</v>
      </c>
      <c r="F322" s="311"/>
      <c r="G322" s="311">
        <v>3000</v>
      </c>
      <c r="H322" s="311"/>
      <c r="I322" s="211" t="e">
        <f t="shared" si="14"/>
        <v>#DIV/0!</v>
      </c>
    </row>
    <row r="323" spans="1:14" ht="22.5">
      <c r="A323" s="195"/>
      <c r="B323" s="197"/>
      <c r="C323" s="217" t="s">
        <v>206</v>
      </c>
      <c r="D323" s="218" t="s">
        <v>207</v>
      </c>
      <c r="E323" s="311">
        <v>59886</v>
      </c>
      <c r="F323" s="319">
        <v>59886</v>
      </c>
      <c r="G323" s="311">
        <v>63132</v>
      </c>
      <c r="H323" s="311"/>
      <c r="I323" s="211">
        <f t="shared" si="14"/>
        <v>1.0542029856727784</v>
      </c>
    </row>
    <row r="324" spans="1:14">
      <c r="A324" s="199">
        <v>851</v>
      </c>
      <c r="B324" s="200"/>
      <c r="C324" s="228"/>
      <c r="D324" s="201" t="s">
        <v>245</v>
      </c>
      <c r="E324" s="312">
        <f>E325+E329+E334+E349</f>
        <v>1191796.8500000001</v>
      </c>
      <c r="F324" s="312">
        <f>F325+F329+F334+F349</f>
        <v>1191796.8500000001</v>
      </c>
      <c r="G324" s="312">
        <f>G325+G329+G334+G349</f>
        <v>87960</v>
      </c>
      <c r="H324" s="312"/>
      <c r="I324" s="282">
        <f t="shared" si="14"/>
        <v>7.3804524655355475E-2</v>
      </c>
    </row>
    <row r="325" spans="1:14">
      <c r="A325" s="203"/>
      <c r="B325" s="216">
        <v>85121</v>
      </c>
      <c r="C325" s="229"/>
      <c r="D325" s="205" t="s">
        <v>49</v>
      </c>
      <c r="E325" s="313">
        <f>SUM(E326:E328)</f>
        <v>1078515.8500000001</v>
      </c>
      <c r="F325" s="313">
        <f>SUM(F326:F328)</f>
        <v>1078515.8500000001</v>
      </c>
      <c r="G325" s="313">
        <f>SUM(G326:G328)</f>
        <v>0</v>
      </c>
      <c r="H325" s="313"/>
      <c r="I325" s="241">
        <f t="shared" si="14"/>
        <v>0</v>
      </c>
      <c r="L325" s="192">
        <f>E324-E325</f>
        <v>113281</v>
      </c>
      <c r="M325" s="192">
        <f>F324-F325</f>
        <v>113281</v>
      </c>
      <c r="N325" s="191">
        <f>M325/L325</f>
        <v>1</v>
      </c>
    </row>
    <row r="326" spans="1:14" ht="15.75" customHeight="1">
      <c r="A326" s="233"/>
      <c r="B326" s="197"/>
      <c r="C326" s="217" t="s">
        <v>180</v>
      </c>
      <c r="D326" s="218" t="s">
        <v>160</v>
      </c>
      <c r="E326" s="311">
        <v>216676.79</v>
      </c>
      <c r="F326" s="311">
        <f>E326</f>
        <v>216676.79</v>
      </c>
      <c r="G326" s="311"/>
      <c r="H326" s="311"/>
      <c r="I326" s="211">
        <f t="shared" si="14"/>
        <v>0</v>
      </c>
      <c r="L326" s="190"/>
    </row>
    <row r="327" spans="1:14" ht="17.25" customHeight="1">
      <c r="A327" s="233"/>
      <c r="B327" s="197"/>
      <c r="C327" s="217" t="s">
        <v>412</v>
      </c>
      <c r="D327" s="218" t="s">
        <v>160</v>
      </c>
      <c r="E327" s="311">
        <v>574958.31999999995</v>
      </c>
      <c r="F327" s="311">
        <v>574958.31999999995</v>
      </c>
      <c r="G327" s="311"/>
      <c r="H327" s="311"/>
      <c r="I327" s="211">
        <f t="shared" si="14"/>
        <v>0</v>
      </c>
      <c r="L327" s="190">
        <v>1011400</v>
      </c>
    </row>
    <row r="328" spans="1:14" ht="16.5" customHeight="1">
      <c r="A328" s="233"/>
      <c r="B328" s="197"/>
      <c r="C328" s="217" t="s">
        <v>314</v>
      </c>
      <c r="D328" s="218" t="s">
        <v>160</v>
      </c>
      <c r="E328" s="311">
        <v>286880.74</v>
      </c>
      <c r="F328" s="311">
        <v>286880.74</v>
      </c>
      <c r="G328" s="311"/>
      <c r="H328" s="311"/>
      <c r="I328" s="211">
        <f t="shared" si="14"/>
        <v>0</v>
      </c>
      <c r="L328" s="190"/>
    </row>
    <row r="329" spans="1:14">
      <c r="A329" s="203"/>
      <c r="B329" s="204">
        <v>85153</v>
      </c>
      <c r="C329" s="229"/>
      <c r="D329" s="205" t="s">
        <v>246</v>
      </c>
      <c r="E329" s="313">
        <f>SUM(E330:E333)</f>
        <v>24341</v>
      </c>
      <c r="F329" s="313">
        <f>SUM(F330:F333)</f>
        <v>24341</v>
      </c>
      <c r="G329" s="313">
        <f>SUM(G330:G333)</f>
        <v>22170</v>
      </c>
      <c r="H329" s="313"/>
      <c r="I329" s="241">
        <f t="shared" si="14"/>
        <v>0.91080892321597307</v>
      </c>
    </row>
    <row r="330" spans="1:14" s="212" customFormat="1">
      <c r="A330" s="233"/>
      <c r="B330" s="194"/>
      <c r="C330" s="217" t="s">
        <v>173</v>
      </c>
      <c r="D330" s="218" t="s">
        <v>11</v>
      </c>
      <c r="E330" s="311">
        <v>12350</v>
      </c>
      <c r="F330" s="311">
        <f>E330</f>
        <v>12350</v>
      </c>
      <c r="G330" s="311">
        <v>9470</v>
      </c>
      <c r="H330" s="311"/>
      <c r="I330" s="211">
        <f t="shared" si="14"/>
        <v>0.76680161943319836</v>
      </c>
      <c r="M330" s="213"/>
      <c r="N330" s="213"/>
    </row>
    <row r="331" spans="1:14" s="212" customFormat="1" ht="22.5">
      <c r="A331" s="233"/>
      <c r="B331" s="194"/>
      <c r="C331" s="301" t="s">
        <v>227</v>
      </c>
      <c r="D331" s="302" t="s">
        <v>228</v>
      </c>
      <c r="E331" s="311">
        <v>1400</v>
      </c>
      <c r="F331" s="311">
        <f>E331</f>
        <v>1400</v>
      </c>
      <c r="G331" s="311">
        <v>1600</v>
      </c>
      <c r="H331" s="311"/>
      <c r="I331" s="211">
        <f t="shared" si="14"/>
        <v>1.1428571428571428</v>
      </c>
      <c r="M331" s="213"/>
      <c r="N331" s="213"/>
    </row>
    <row r="332" spans="1:14">
      <c r="A332" s="233"/>
      <c r="B332" s="195"/>
      <c r="C332" s="217" t="s">
        <v>174</v>
      </c>
      <c r="D332" s="218" t="s">
        <v>13</v>
      </c>
      <c r="E332" s="311">
        <v>10300</v>
      </c>
      <c r="F332" s="311">
        <f>E332</f>
        <v>10300</v>
      </c>
      <c r="G332" s="311">
        <v>10800</v>
      </c>
      <c r="H332" s="311"/>
      <c r="I332" s="211">
        <f t="shared" si="14"/>
        <v>1.0485436893203883</v>
      </c>
    </row>
    <row r="333" spans="1:14" ht="33.75">
      <c r="A333" s="233"/>
      <c r="B333" s="195"/>
      <c r="C333" s="301" t="s">
        <v>203</v>
      </c>
      <c r="D333" s="302" t="s">
        <v>413</v>
      </c>
      <c r="E333" s="311">
        <v>291</v>
      </c>
      <c r="F333" s="311">
        <f>E333</f>
        <v>291</v>
      </c>
      <c r="G333" s="311">
        <v>300</v>
      </c>
      <c r="H333" s="311"/>
      <c r="I333" s="211">
        <f t="shared" si="14"/>
        <v>1.0309278350515463</v>
      </c>
    </row>
    <row r="334" spans="1:14">
      <c r="A334" s="204"/>
      <c r="B334" s="216">
        <v>85154</v>
      </c>
      <c r="C334" s="229"/>
      <c r="D334" s="205" t="s">
        <v>50</v>
      </c>
      <c r="E334" s="313">
        <f>SUM(E335:E348)</f>
        <v>68075</v>
      </c>
      <c r="F334" s="313">
        <f>SUM(F335:F348)</f>
        <v>68075</v>
      </c>
      <c r="G334" s="313">
        <f>SUM(G335:G348)</f>
        <v>65790</v>
      </c>
      <c r="H334" s="313"/>
      <c r="I334" s="241">
        <f t="shared" si="14"/>
        <v>0.96643408005875875</v>
      </c>
    </row>
    <row r="335" spans="1:14" s="212" customFormat="1">
      <c r="A335" s="195"/>
      <c r="B335" s="197"/>
      <c r="C335" s="217" t="s">
        <v>197</v>
      </c>
      <c r="D335" s="218" t="s">
        <v>184</v>
      </c>
      <c r="E335" s="311">
        <v>12800</v>
      </c>
      <c r="F335" s="311">
        <f>E335</f>
        <v>12800</v>
      </c>
      <c r="G335" s="311">
        <v>13000</v>
      </c>
      <c r="H335" s="311"/>
      <c r="I335" s="211">
        <f t="shared" si="14"/>
        <v>1.015625</v>
      </c>
      <c r="M335" s="213"/>
      <c r="N335" s="213"/>
    </row>
    <row r="336" spans="1:14" s="212" customFormat="1">
      <c r="A336" s="195"/>
      <c r="B336" s="197"/>
      <c r="C336" s="214">
        <v>4040</v>
      </c>
      <c r="D336" s="276" t="s">
        <v>30</v>
      </c>
      <c r="E336" s="311">
        <v>1000</v>
      </c>
      <c r="F336" s="311">
        <f t="shared" ref="F336:F348" si="15">E336</f>
        <v>1000</v>
      </c>
      <c r="G336" s="311">
        <v>950</v>
      </c>
      <c r="H336" s="311"/>
      <c r="I336" s="211">
        <f t="shared" si="14"/>
        <v>0.95</v>
      </c>
      <c r="M336" s="213"/>
      <c r="N336" s="213"/>
    </row>
    <row r="337" spans="1:14">
      <c r="A337" s="195"/>
      <c r="B337" s="195"/>
      <c r="C337" s="217" t="s">
        <v>170</v>
      </c>
      <c r="D337" s="218" t="s">
        <v>45</v>
      </c>
      <c r="E337" s="311">
        <v>3300</v>
      </c>
      <c r="F337" s="311">
        <f t="shared" si="15"/>
        <v>3300</v>
      </c>
      <c r="G337" s="311">
        <v>3300</v>
      </c>
      <c r="H337" s="311"/>
      <c r="I337" s="211">
        <f t="shared" si="14"/>
        <v>1</v>
      </c>
    </row>
    <row r="338" spans="1:14">
      <c r="A338" s="195"/>
      <c r="B338" s="195"/>
      <c r="C338" s="217" t="s">
        <v>171</v>
      </c>
      <c r="D338" s="218" t="s">
        <v>163</v>
      </c>
      <c r="E338" s="311">
        <v>600</v>
      </c>
      <c r="F338" s="311">
        <f t="shared" si="15"/>
        <v>600</v>
      </c>
      <c r="G338" s="311">
        <v>600</v>
      </c>
      <c r="H338" s="311"/>
      <c r="I338" s="211">
        <f t="shared" si="14"/>
        <v>1</v>
      </c>
      <c r="L338" s="192"/>
      <c r="M338" s="192">
        <f>F335+F336+F337+F338+F339</f>
        <v>39160</v>
      </c>
    </row>
    <row r="339" spans="1:14">
      <c r="A339" s="195"/>
      <c r="B339" s="195"/>
      <c r="C339" s="217" t="s">
        <v>172</v>
      </c>
      <c r="D339" s="218" t="s">
        <v>164</v>
      </c>
      <c r="E339" s="311">
        <v>21460</v>
      </c>
      <c r="F339" s="311">
        <f t="shared" si="15"/>
        <v>21460</v>
      </c>
      <c r="G339" s="311">
        <v>18200</v>
      </c>
      <c r="H339" s="311"/>
      <c r="I339" s="211">
        <f t="shared" si="14"/>
        <v>0.84808946877912395</v>
      </c>
      <c r="M339" s="192">
        <f>F340+F341</f>
        <v>8675</v>
      </c>
    </row>
    <row r="340" spans="1:14">
      <c r="A340" s="195"/>
      <c r="B340" s="195"/>
      <c r="C340" s="217" t="s">
        <v>173</v>
      </c>
      <c r="D340" s="218" t="s">
        <v>11</v>
      </c>
      <c r="E340" s="311">
        <v>8375</v>
      </c>
      <c r="F340" s="311">
        <f t="shared" si="15"/>
        <v>8375</v>
      </c>
      <c r="G340" s="311">
        <v>6800</v>
      </c>
      <c r="H340" s="311"/>
      <c r="I340" s="211">
        <f t="shared" si="14"/>
        <v>0.81194029850746263</v>
      </c>
    </row>
    <row r="341" spans="1:14" ht="22.5">
      <c r="A341" s="195"/>
      <c r="B341" s="195"/>
      <c r="C341" s="217" t="s">
        <v>227</v>
      </c>
      <c r="D341" s="218" t="s">
        <v>228</v>
      </c>
      <c r="E341" s="311">
        <v>300</v>
      </c>
      <c r="F341" s="311">
        <f t="shared" si="15"/>
        <v>300</v>
      </c>
      <c r="G341" s="311">
        <v>400</v>
      </c>
      <c r="H341" s="311"/>
      <c r="I341" s="211">
        <f t="shared" si="14"/>
        <v>1.3333333333333333</v>
      </c>
      <c r="L341" s="192"/>
    </row>
    <row r="342" spans="1:14">
      <c r="A342" s="195"/>
      <c r="B342" s="195"/>
      <c r="C342" s="217" t="s">
        <v>174</v>
      </c>
      <c r="D342" s="218" t="s">
        <v>13</v>
      </c>
      <c r="E342" s="311">
        <v>12200</v>
      </c>
      <c r="F342" s="311">
        <f t="shared" si="15"/>
        <v>12200</v>
      </c>
      <c r="G342" s="311">
        <v>20750</v>
      </c>
      <c r="H342" s="311"/>
      <c r="I342" s="211">
        <f t="shared" si="14"/>
        <v>1.7008196721311475</v>
      </c>
    </row>
    <row r="343" spans="1:14" ht="22.5">
      <c r="A343" s="195"/>
      <c r="B343" s="195"/>
      <c r="C343" s="217" t="s">
        <v>203</v>
      </c>
      <c r="D343" s="218" t="s">
        <v>204</v>
      </c>
      <c r="E343" s="311">
        <v>470</v>
      </c>
      <c r="F343" s="311">
        <f t="shared" si="15"/>
        <v>470</v>
      </c>
      <c r="G343" s="311">
        <v>470</v>
      </c>
      <c r="H343" s="311"/>
      <c r="I343" s="211">
        <f t="shared" si="14"/>
        <v>1</v>
      </c>
    </row>
    <row r="344" spans="1:14">
      <c r="A344" s="195"/>
      <c r="B344" s="195"/>
      <c r="C344" s="217" t="s">
        <v>175</v>
      </c>
      <c r="D344" s="218" t="s">
        <v>25</v>
      </c>
      <c r="E344" s="311">
        <v>400</v>
      </c>
      <c r="F344" s="311">
        <f t="shared" si="15"/>
        <v>400</v>
      </c>
      <c r="G344" s="311">
        <v>200</v>
      </c>
      <c r="H344" s="311"/>
      <c r="I344" s="211">
        <f t="shared" ref="I344:I408" si="16">G344/F344</f>
        <v>0.5</v>
      </c>
    </row>
    <row r="345" spans="1:14">
      <c r="A345" s="195"/>
      <c r="B345" s="195"/>
      <c r="C345" s="217" t="s">
        <v>176</v>
      </c>
      <c r="D345" s="218" t="s">
        <v>26</v>
      </c>
      <c r="E345" s="311">
        <v>5620</v>
      </c>
      <c r="F345" s="311">
        <f t="shared" si="15"/>
        <v>5620</v>
      </c>
      <c r="G345" s="311">
        <v>320</v>
      </c>
      <c r="H345" s="311"/>
      <c r="I345" s="211">
        <f t="shared" si="16"/>
        <v>5.6939501779359428E-2</v>
      </c>
    </row>
    <row r="346" spans="1:14" ht="22.5">
      <c r="A346" s="195"/>
      <c r="B346" s="195"/>
      <c r="C346" s="301" t="s">
        <v>206</v>
      </c>
      <c r="D346" s="302" t="s">
        <v>207</v>
      </c>
      <c r="E346" s="311">
        <v>800</v>
      </c>
      <c r="F346" s="311">
        <f t="shared" si="15"/>
        <v>800</v>
      </c>
      <c r="G346" s="311">
        <v>800</v>
      </c>
      <c r="H346" s="311"/>
      <c r="I346" s="211">
        <f t="shared" si="16"/>
        <v>1</v>
      </c>
    </row>
    <row r="347" spans="1:14" ht="14.25" customHeight="1">
      <c r="A347" s="195"/>
      <c r="B347" s="195"/>
      <c r="C347" s="217" t="s">
        <v>193</v>
      </c>
      <c r="D347" s="218" t="s">
        <v>189</v>
      </c>
      <c r="E347" s="311">
        <v>500</v>
      </c>
      <c r="F347" s="311">
        <f t="shared" si="15"/>
        <v>500</v>
      </c>
      <c r="G347" s="311"/>
      <c r="H347" s="311"/>
      <c r="I347" s="211">
        <f t="shared" si="16"/>
        <v>0</v>
      </c>
    </row>
    <row r="348" spans="1:14" ht="14.25" customHeight="1">
      <c r="A348" s="195"/>
      <c r="B348" s="195"/>
      <c r="C348" s="217" t="s">
        <v>194</v>
      </c>
      <c r="D348" s="218" t="s">
        <v>190</v>
      </c>
      <c r="E348" s="311">
        <v>250</v>
      </c>
      <c r="F348" s="311">
        <f t="shared" si="15"/>
        <v>250</v>
      </c>
      <c r="G348" s="319"/>
      <c r="H348" s="344"/>
      <c r="I348" s="211">
        <f t="shared" si="16"/>
        <v>0</v>
      </c>
    </row>
    <row r="349" spans="1:14" s="193" customFormat="1">
      <c r="A349" s="204"/>
      <c r="B349" s="204">
        <v>85178</v>
      </c>
      <c r="C349" s="229"/>
      <c r="D349" s="310" t="s">
        <v>54</v>
      </c>
      <c r="E349" s="325">
        <f>E350</f>
        <v>20865</v>
      </c>
      <c r="F349" s="325">
        <f>F350</f>
        <v>20865</v>
      </c>
      <c r="G349" s="325">
        <f>G350</f>
        <v>0</v>
      </c>
      <c r="H349" s="325"/>
      <c r="I349" s="241">
        <f t="shared" si="16"/>
        <v>0</v>
      </c>
      <c r="M349" s="207"/>
      <c r="N349" s="207"/>
    </row>
    <row r="350" spans="1:14" ht="18.75" customHeight="1">
      <c r="A350" s="195"/>
      <c r="B350" s="195"/>
      <c r="C350" s="217" t="s">
        <v>174</v>
      </c>
      <c r="D350" s="218" t="s">
        <v>13</v>
      </c>
      <c r="E350" s="311">
        <v>20865</v>
      </c>
      <c r="F350" s="311">
        <v>20865</v>
      </c>
      <c r="G350" s="311">
        <v>0</v>
      </c>
      <c r="H350" s="311"/>
      <c r="I350" s="211">
        <f t="shared" si="16"/>
        <v>0</v>
      </c>
    </row>
    <row r="351" spans="1:14">
      <c r="A351" s="199">
        <v>852</v>
      </c>
      <c r="B351" s="200"/>
      <c r="C351" s="228"/>
      <c r="D351" s="201" t="s">
        <v>249</v>
      </c>
      <c r="E351" s="312">
        <f>E352+E356+E373+E375+E378+E380+E383+E424+E438+E440</f>
        <v>6141190.1299999999</v>
      </c>
      <c r="F351" s="312">
        <f>F352+F356+F373+F375+F378+F380+F383+F424+F438+F440</f>
        <v>5845659.1299999999</v>
      </c>
      <c r="G351" s="312">
        <f>G352+G356+G373+G375+G378+G380+G383+G424+G438+G440</f>
        <v>4450740</v>
      </c>
      <c r="H351" s="312"/>
      <c r="I351" s="282">
        <f t="shared" si="16"/>
        <v>0.76137521894814963</v>
      </c>
      <c r="L351" s="192">
        <f>E351-E423</f>
        <v>4961190.13</v>
      </c>
      <c r="M351" s="192">
        <f>F351-F423</f>
        <v>4665659.13</v>
      </c>
      <c r="N351" s="191">
        <f>M351/L351</f>
        <v>0.94043143031085563</v>
      </c>
    </row>
    <row r="352" spans="1:14" s="193" customFormat="1">
      <c r="A352" s="203"/>
      <c r="B352" s="204">
        <v>85202</v>
      </c>
      <c r="C352" s="229"/>
      <c r="D352" s="205" t="s">
        <v>250</v>
      </c>
      <c r="E352" s="313">
        <f>E353</f>
        <v>140000</v>
      </c>
      <c r="F352" s="313">
        <f>F353</f>
        <v>70000</v>
      </c>
      <c r="G352" s="313">
        <f>G353</f>
        <v>125700</v>
      </c>
      <c r="H352" s="313"/>
      <c r="I352" s="241">
        <f t="shared" si="16"/>
        <v>1.7957142857142858</v>
      </c>
      <c r="M352" s="207"/>
      <c r="N352" s="207"/>
    </row>
    <row r="353" spans="1:14" ht="33.75">
      <c r="A353" s="233"/>
      <c r="B353" s="195"/>
      <c r="C353" s="217" t="s">
        <v>251</v>
      </c>
      <c r="D353" s="218" t="s">
        <v>252</v>
      </c>
      <c r="E353" s="311">
        <v>140000</v>
      </c>
      <c r="F353" s="319">
        <v>70000</v>
      </c>
      <c r="G353" s="311">
        <v>125700</v>
      </c>
      <c r="H353" s="311"/>
      <c r="I353" s="211">
        <f t="shared" si="16"/>
        <v>1.7957142857142858</v>
      </c>
    </row>
    <row r="354" spans="1:14" hidden="1">
      <c r="A354" s="203"/>
      <c r="B354" s="204">
        <v>85203</v>
      </c>
      <c r="C354" s="229"/>
      <c r="D354" s="205" t="s">
        <v>253</v>
      </c>
      <c r="E354" s="327">
        <f>E355</f>
        <v>0</v>
      </c>
      <c r="F354" s="327">
        <f>F355</f>
        <v>0</v>
      </c>
      <c r="G354" s="327">
        <f>G355</f>
        <v>0</v>
      </c>
      <c r="H354" s="327"/>
      <c r="I354" s="211" t="e">
        <f t="shared" si="16"/>
        <v>#DIV/0!</v>
      </c>
    </row>
    <row r="355" spans="1:14" ht="45" hidden="1">
      <c r="A355" s="233"/>
      <c r="B355" s="195"/>
      <c r="C355" s="217" t="s">
        <v>168</v>
      </c>
      <c r="D355" s="218" t="s">
        <v>166</v>
      </c>
      <c r="E355" s="311">
        <v>0</v>
      </c>
      <c r="F355" s="311">
        <v>0</v>
      </c>
      <c r="G355" s="311">
        <v>0</v>
      </c>
      <c r="H355" s="311"/>
      <c r="I355" s="211" t="e">
        <f t="shared" si="16"/>
        <v>#DIV/0!</v>
      </c>
    </row>
    <row r="356" spans="1:14" ht="41.25" customHeight="1">
      <c r="A356" s="203"/>
      <c r="B356" s="216">
        <v>85212</v>
      </c>
      <c r="C356" s="229"/>
      <c r="D356" s="205" t="s">
        <v>254</v>
      </c>
      <c r="E356" s="313">
        <f>SUM(E357:E372)</f>
        <v>2609600</v>
      </c>
      <c r="F356" s="313">
        <f>SUM(F357:F372)</f>
        <v>2545051</v>
      </c>
      <c r="G356" s="313">
        <f>SUM(G357:G372)</f>
        <v>2554000</v>
      </c>
      <c r="H356" s="313"/>
      <c r="I356" s="241">
        <f t="shared" si="16"/>
        <v>1.0035162360204177</v>
      </c>
    </row>
    <row r="357" spans="1:14" ht="34.5" customHeight="1">
      <c r="A357" s="230"/>
      <c r="B357" s="220"/>
      <c r="C357" s="301" t="s">
        <v>390</v>
      </c>
      <c r="D357" s="218" t="s">
        <v>391</v>
      </c>
      <c r="E357" s="311">
        <v>3000</v>
      </c>
      <c r="F357" s="319">
        <v>2000</v>
      </c>
      <c r="G357" s="319">
        <v>3000</v>
      </c>
      <c r="H357" s="319"/>
      <c r="I357" s="211">
        <f t="shared" si="16"/>
        <v>1.5</v>
      </c>
    </row>
    <row r="358" spans="1:14">
      <c r="A358" s="233"/>
      <c r="B358" s="197"/>
      <c r="C358" s="217" t="s">
        <v>255</v>
      </c>
      <c r="D358" s="218" t="s">
        <v>51</v>
      </c>
      <c r="E358" s="311">
        <v>2531959</v>
      </c>
      <c r="F358" s="319">
        <v>2471500</v>
      </c>
      <c r="G358" s="319">
        <v>2476700</v>
      </c>
      <c r="H358" s="319"/>
      <c r="I358" s="211">
        <f t="shared" si="16"/>
        <v>1.0021039854339471</v>
      </c>
      <c r="L358" s="192"/>
      <c r="N358" s="191"/>
    </row>
    <row r="359" spans="1:14">
      <c r="A359" s="233"/>
      <c r="B359" s="197"/>
      <c r="C359" s="217" t="s">
        <v>197</v>
      </c>
      <c r="D359" s="218" t="s">
        <v>184</v>
      </c>
      <c r="E359" s="311">
        <v>39900</v>
      </c>
      <c r="F359" s="319">
        <v>39400</v>
      </c>
      <c r="G359" s="319">
        <v>49149</v>
      </c>
      <c r="H359" s="319"/>
      <c r="I359" s="211">
        <f t="shared" si="16"/>
        <v>1.2474365482233503</v>
      </c>
      <c r="L359" s="192">
        <f>E359+E360+E361+E362</f>
        <v>50744</v>
      </c>
      <c r="M359" s="192">
        <f>F359+F360+F361+F362</f>
        <v>50124</v>
      </c>
      <c r="N359" s="191">
        <f>M359/L359</f>
        <v>0.98778180671606497</v>
      </c>
    </row>
    <row r="360" spans="1:14">
      <c r="A360" s="233"/>
      <c r="B360" s="197"/>
      <c r="C360" s="217" t="s">
        <v>198</v>
      </c>
      <c r="D360" s="218" t="s">
        <v>185</v>
      </c>
      <c r="E360" s="311">
        <v>3124</v>
      </c>
      <c r="F360" s="319">
        <v>3124</v>
      </c>
      <c r="G360" s="319">
        <v>3150</v>
      </c>
      <c r="H360" s="319"/>
      <c r="I360" s="211">
        <f t="shared" si="16"/>
        <v>1.0083226632522406</v>
      </c>
      <c r="L360" s="192">
        <f>E356-E358-L359</f>
        <v>26897</v>
      </c>
      <c r="M360" s="192">
        <f>F356-F358-M359</f>
        <v>23427</v>
      </c>
      <c r="N360" s="191">
        <f>M360/L360</f>
        <v>0.87098932966501841</v>
      </c>
    </row>
    <row r="361" spans="1:14">
      <c r="A361" s="233"/>
      <c r="B361" s="197"/>
      <c r="C361" s="217" t="s">
        <v>170</v>
      </c>
      <c r="D361" s="218" t="s">
        <v>45</v>
      </c>
      <c r="E361" s="311">
        <v>6650</v>
      </c>
      <c r="F361" s="319">
        <v>6550</v>
      </c>
      <c r="G361" s="319">
        <v>7997</v>
      </c>
      <c r="H361" s="319"/>
      <c r="I361" s="211">
        <f t="shared" si="16"/>
        <v>1.2209160305343512</v>
      </c>
      <c r="L361" s="192"/>
      <c r="N361" s="191"/>
    </row>
    <row r="362" spans="1:14">
      <c r="A362" s="233"/>
      <c r="B362" s="197"/>
      <c r="C362" s="217" t="s">
        <v>171</v>
      </c>
      <c r="D362" s="218" t="s">
        <v>163</v>
      </c>
      <c r="E362" s="311">
        <v>1070</v>
      </c>
      <c r="F362" s="319">
        <v>1050</v>
      </c>
      <c r="G362" s="319">
        <v>1282</v>
      </c>
      <c r="H362" s="319"/>
      <c r="I362" s="211">
        <f t="shared" si="16"/>
        <v>1.220952380952381</v>
      </c>
    </row>
    <row r="363" spans="1:14">
      <c r="A363" s="233"/>
      <c r="B363" s="197"/>
      <c r="C363" s="217" t="s">
        <v>173</v>
      </c>
      <c r="D363" s="218" t="s">
        <v>11</v>
      </c>
      <c r="E363" s="311">
        <v>2000</v>
      </c>
      <c r="F363" s="319">
        <v>1700</v>
      </c>
      <c r="G363" s="319">
        <v>2000</v>
      </c>
      <c r="H363" s="319"/>
      <c r="I363" s="211">
        <f t="shared" si="16"/>
        <v>1.1764705882352942</v>
      </c>
      <c r="N363" s="272"/>
    </row>
    <row r="364" spans="1:14">
      <c r="A364" s="233"/>
      <c r="B364" s="197"/>
      <c r="C364" s="301" t="s">
        <v>181</v>
      </c>
      <c r="D364" s="302" t="s">
        <v>24</v>
      </c>
      <c r="E364" s="311">
        <v>1000</v>
      </c>
      <c r="F364" s="319">
        <v>0</v>
      </c>
      <c r="G364" s="319"/>
      <c r="H364" s="319"/>
      <c r="I364" s="211" t="e">
        <f t="shared" si="16"/>
        <v>#DIV/0!</v>
      </c>
      <c r="N364" s="272"/>
    </row>
    <row r="365" spans="1:14">
      <c r="A365" s="233"/>
      <c r="B365" s="197"/>
      <c r="C365" s="278">
        <v>4270</v>
      </c>
      <c r="D365" s="279" t="s">
        <v>56</v>
      </c>
      <c r="E365" s="311">
        <v>300</v>
      </c>
      <c r="F365" s="319">
        <v>900</v>
      </c>
      <c r="G365" s="319">
        <v>500</v>
      </c>
      <c r="H365" s="319"/>
      <c r="I365" s="211">
        <f t="shared" si="16"/>
        <v>0.55555555555555558</v>
      </c>
      <c r="N365" s="272"/>
    </row>
    <row r="366" spans="1:14">
      <c r="A366" s="233"/>
      <c r="B366" s="197"/>
      <c r="C366" s="278">
        <v>4280</v>
      </c>
      <c r="D366" s="279" t="s">
        <v>37</v>
      </c>
      <c r="E366" s="311">
        <v>13947</v>
      </c>
      <c r="F366" s="319">
        <v>0</v>
      </c>
      <c r="G366" s="319"/>
      <c r="H366" s="319"/>
      <c r="I366" s="211" t="e">
        <f t="shared" si="16"/>
        <v>#DIV/0!</v>
      </c>
      <c r="N366" s="272"/>
    </row>
    <row r="367" spans="1:14">
      <c r="A367" s="233"/>
      <c r="B367" s="197"/>
      <c r="C367" s="217" t="s">
        <v>174</v>
      </c>
      <c r="D367" s="218" t="s">
        <v>13</v>
      </c>
      <c r="E367" s="311">
        <v>300</v>
      </c>
      <c r="F367" s="319">
        <v>13947</v>
      </c>
      <c r="G367" s="319">
        <v>6022</v>
      </c>
      <c r="H367" s="319"/>
      <c r="I367" s="211">
        <f t="shared" si="16"/>
        <v>0.4317774431777443</v>
      </c>
    </row>
    <row r="368" spans="1:14">
      <c r="A368" s="233"/>
      <c r="B368" s="197"/>
      <c r="C368" s="217" t="s">
        <v>175</v>
      </c>
      <c r="D368" s="218" t="s">
        <v>25</v>
      </c>
      <c r="E368" s="311">
        <v>1750</v>
      </c>
      <c r="F368" s="319">
        <v>200</v>
      </c>
      <c r="G368" s="319">
        <v>200</v>
      </c>
      <c r="H368" s="319"/>
      <c r="I368" s="211">
        <f t="shared" si="16"/>
        <v>1</v>
      </c>
    </row>
    <row r="369" spans="1:14" ht="22.5">
      <c r="A369" s="233"/>
      <c r="B369" s="195"/>
      <c r="C369" s="217" t="s">
        <v>206</v>
      </c>
      <c r="D369" s="218" t="s">
        <v>207</v>
      </c>
      <c r="E369" s="311">
        <v>600</v>
      </c>
      <c r="F369" s="319">
        <v>1750</v>
      </c>
      <c r="G369" s="319">
        <v>2500</v>
      </c>
      <c r="H369" s="319"/>
      <c r="I369" s="211">
        <f t="shared" si="16"/>
        <v>1.4285714285714286</v>
      </c>
      <c r="L369" s="192"/>
    </row>
    <row r="370" spans="1:14" ht="22.5">
      <c r="A370" s="233"/>
      <c r="B370" s="197"/>
      <c r="C370" s="217" t="s">
        <v>193</v>
      </c>
      <c r="D370" s="218" t="s">
        <v>189</v>
      </c>
      <c r="E370" s="311">
        <v>2000</v>
      </c>
      <c r="F370" s="319">
        <v>1000</v>
      </c>
      <c r="G370" s="319">
        <v>1500</v>
      </c>
      <c r="H370" s="319"/>
      <c r="I370" s="211">
        <f t="shared" si="16"/>
        <v>1.5</v>
      </c>
    </row>
    <row r="371" spans="1:14" ht="22.5">
      <c r="A371" s="233"/>
      <c r="B371" s="197"/>
      <c r="C371" s="217" t="s">
        <v>194</v>
      </c>
      <c r="D371" s="218" t="s">
        <v>190</v>
      </c>
      <c r="E371" s="311">
        <v>1000</v>
      </c>
      <c r="F371" s="319">
        <v>1000</v>
      </c>
      <c r="G371" s="319">
        <v>0</v>
      </c>
      <c r="H371" s="319"/>
      <c r="I371" s="211">
        <f t="shared" si="16"/>
        <v>0</v>
      </c>
    </row>
    <row r="372" spans="1:14" ht="22.5">
      <c r="A372" s="233"/>
      <c r="B372" s="197"/>
      <c r="C372" s="217" t="s">
        <v>208</v>
      </c>
      <c r="D372" s="218" t="s">
        <v>186</v>
      </c>
      <c r="E372" s="311">
        <v>1000</v>
      </c>
      <c r="F372" s="319">
        <v>930</v>
      </c>
      <c r="G372" s="319">
        <v>0</v>
      </c>
      <c r="H372" s="319"/>
      <c r="I372" s="211">
        <f t="shared" si="16"/>
        <v>0</v>
      </c>
    </row>
    <row r="373" spans="1:14" ht="65.25" customHeight="1">
      <c r="A373" s="203"/>
      <c r="B373" s="216">
        <v>85213</v>
      </c>
      <c r="C373" s="229"/>
      <c r="D373" s="205" t="s">
        <v>256</v>
      </c>
      <c r="E373" s="313">
        <f>SUM(E374:E374)</f>
        <v>20300</v>
      </c>
      <c r="F373" s="313">
        <f>SUM(F374:F374)</f>
        <v>20300</v>
      </c>
      <c r="G373" s="313">
        <f>SUM(G374:G374)</f>
        <v>21700</v>
      </c>
      <c r="H373" s="313"/>
      <c r="I373" s="241">
        <f t="shared" si="16"/>
        <v>1.0689655172413792</v>
      </c>
    </row>
    <row r="374" spans="1:14" ht="18.75" customHeight="1">
      <c r="A374" s="230"/>
      <c r="B374" s="197"/>
      <c r="C374" s="217" t="s">
        <v>257</v>
      </c>
      <c r="D374" s="218" t="s">
        <v>258</v>
      </c>
      <c r="E374" s="311">
        <v>20300</v>
      </c>
      <c r="F374" s="319">
        <v>20300</v>
      </c>
      <c r="G374" s="311">
        <v>21700</v>
      </c>
      <c r="H374" s="311"/>
      <c r="I374" s="211">
        <f t="shared" si="16"/>
        <v>1.0689655172413792</v>
      </c>
    </row>
    <row r="375" spans="1:14" ht="22.5">
      <c r="A375" s="203"/>
      <c r="B375" s="204">
        <v>85214</v>
      </c>
      <c r="C375" s="229"/>
      <c r="D375" s="205" t="s">
        <v>259</v>
      </c>
      <c r="E375" s="313">
        <f>SUM(E376:E377)</f>
        <v>343000</v>
      </c>
      <c r="F375" s="313">
        <f>SUM(F376:F377)</f>
        <v>343000</v>
      </c>
      <c r="G375" s="313">
        <f>SUM(G376:G377)</f>
        <v>335620</v>
      </c>
      <c r="H375" s="313"/>
      <c r="I375" s="241">
        <f t="shared" si="16"/>
        <v>0.97848396501457724</v>
      </c>
    </row>
    <row r="376" spans="1:14">
      <c r="A376" s="230"/>
      <c r="B376" s="197"/>
      <c r="C376" s="217" t="s">
        <v>255</v>
      </c>
      <c r="D376" s="218" t="s">
        <v>51</v>
      </c>
      <c r="E376" s="311">
        <v>339000</v>
      </c>
      <c r="F376" s="319">
        <v>339000</v>
      </c>
      <c r="G376" s="311">
        <v>331620</v>
      </c>
      <c r="H376" s="311"/>
      <c r="I376" s="211">
        <f t="shared" si="16"/>
        <v>0.97823008849557525</v>
      </c>
    </row>
    <row r="377" spans="1:14">
      <c r="A377" s="230"/>
      <c r="B377" s="197"/>
      <c r="C377" s="217" t="s">
        <v>174</v>
      </c>
      <c r="D377" s="218" t="s">
        <v>13</v>
      </c>
      <c r="E377" s="311">
        <v>4000</v>
      </c>
      <c r="F377" s="319">
        <v>4000</v>
      </c>
      <c r="G377" s="311">
        <v>4000</v>
      </c>
      <c r="H377" s="311"/>
      <c r="I377" s="211">
        <f t="shared" si="16"/>
        <v>1</v>
      </c>
    </row>
    <row r="378" spans="1:14">
      <c r="A378" s="203"/>
      <c r="B378" s="216">
        <v>85215</v>
      </c>
      <c r="C378" s="229"/>
      <c r="D378" s="205" t="s">
        <v>46</v>
      </c>
      <c r="E378" s="313">
        <f>E379</f>
        <v>145500</v>
      </c>
      <c r="F378" s="313">
        <f>F379</f>
        <v>110000</v>
      </c>
      <c r="G378" s="313">
        <f>G379</f>
        <v>121000</v>
      </c>
      <c r="H378" s="313"/>
      <c r="I378" s="241">
        <f t="shared" si="16"/>
        <v>1.1000000000000001</v>
      </c>
    </row>
    <row r="379" spans="1:14">
      <c r="A379" s="270"/>
      <c r="B379" s="197"/>
      <c r="C379" s="217" t="s">
        <v>255</v>
      </c>
      <c r="D379" s="218" t="s">
        <v>51</v>
      </c>
      <c r="E379" s="311">
        <v>145500</v>
      </c>
      <c r="F379" s="319">
        <v>110000</v>
      </c>
      <c r="G379" s="311">
        <v>121000</v>
      </c>
      <c r="H379" s="311"/>
      <c r="I379" s="211">
        <f t="shared" si="16"/>
        <v>1.1000000000000001</v>
      </c>
    </row>
    <row r="380" spans="1:14">
      <c r="A380" s="204"/>
      <c r="B380" s="216">
        <v>85216</v>
      </c>
      <c r="C380" s="229"/>
      <c r="D380" s="310" t="s">
        <v>414</v>
      </c>
      <c r="E380" s="325">
        <f>E381+E382</f>
        <v>206400</v>
      </c>
      <c r="F380" s="325">
        <f>F381+F382</f>
        <v>204000</v>
      </c>
      <c r="G380" s="325">
        <f>G381+G382</f>
        <v>201000</v>
      </c>
      <c r="H380" s="325"/>
      <c r="I380" s="241">
        <f t="shared" si="16"/>
        <v>0.98529411764705888</v>
      </c>
    </row>
    <row r="381" spans="1:14" ht="45">
      <c r="A381" s="231"/>
      <c r="B381" s="220"/>
      <c r="C381" s="253" t="s">
        <v>390</v>
      </c>
      <c r="D381" s="348" t="s">
        <v>465</v>
      </c>
      <c r="E381" s="311">
        <v>400</v>
      </c>
      <c r="F381" s="319">
        <v>0</v>
      </c>
      <c r="G381" s="345"/>
      <c r="H381" s="345"/>
      <c r="I381" s="211" t="e">
        <f t="shared" si="16"/>
        <v>#DIV/0!</v>
      </c>
    </row>
    <row r="382" spans="1:14">
      <c r="A382" s="270"/>
      <c r="B382" s="197"/>
      <c r="C382" s="217" t="s">
        <v>255</v>
      </c>
      <c r="D382" s="218" t="s">
        <v>51</v>
      </c>
      <c r="E382" s="311">
        <v>206000</v>
      </c>
      <c r="F382" s="319">
        <v>204000</v>
      </c>
      <c r="G382" s="311">
        <v>201000</v>
      </c>
      <c r="H382" s="311"/>
      <c r="I382" s="211">
        <f t="shared" si="16"/>
        <v>0.98529411764705888</v>
      </c>
    </row>
    <row r="383" spans="1:14">
      <c r="A383" s="204"/>
      <c r="B383" s="216">
        <v>85219</v>
      </c>
      <c r="C383" s="229"/>
      <c r="D383" s="205" t="s">
        <v>52</v>
      </c>
      <c r="E383" s="313">
        <f>SUM(E384:E423)</f>
        <v>1851990.13</v>
      </c>
      <c r="F383" s="313">
        <f>SUM(F384:F423)</f>
        <v>1827578.13</v>
      </c>
      <c r="G383" s="313">
        <f>SUM(G384:G423)</f>
        <v>563830</v>
      </c>
      <c r="H383" s="313"/>
      <c r="I383" s="241">
        <f t="shared" si="16"/>
        <v>0.30851211816591395</v>
      </c>
      <c r="L383" s="192">
        <f>E383-G383</f>
        <v>1288160.1299999999</v>
      </c>
    </row>
    <row r="384" spans="1:14" s="212" customFormat="1">
      <c r="A384" s="270"/>
      <c r="B384" s="197"/>
      <c r="C384" s="217" t="s">
        <v>195</v>
      </c>
      <c r="D384" s="218" t="s">
        <v>196</v>
      </c>
      <c r="E384" s="311">
        <v>2000</v>
      </c>
      <c r="F384" s="319">
        <v>1500</v>
      </c>
      <c r="G384" s="311">
        <v>1500</v>
      </c>
      <c r="H384" s="311"/>
      <c r="I384" s="211">
        <f t="shared" si="16"/>
        <v>1</v>
      </c>
      <c r="M384" s="213"/>
      <c r="N384" s="213"/>
    </row>
    <row r="385" spans="1:14" s="212" customFormat="1">
      <c r="A385" s="270"/>
      <c r="B385" s="197"/>
      <c r="C385" s="217" t="s">
        <v>255</v>
      </c>
      <c r="D385" s="218" t="s">
        <v>51</v>
      </c>
      <c r="E385" s="311"/>
      <c r="F385" s="319"/>
      <c r="G385" s="311"/>
      <c r="H385" s="311"/>
      <c r="I385" s="211"/>
      <c r="M385" s="213"/>
      <c r="N385" s="213"/>
    </row>
    <row r="386" spans="1:14">
      <c r="A386" s="195"/>
      <c r="B386" s="197"/>
      <c r="C386" s="217" t="s">
        <v>260</v>
      </c>
      <c r="D386" s="218" t="s">
        <v>51</v>
      </c>
      <c r="E386" s="311">
        <v>9407.31</v>
      </c>
      <c r="F386" s="319">
        <v>9408</v>
      </c>
      <c r="G386" s="311"/>
      <c r="H386" s="311"/>
      <c r="I386" s="211">
        <f t="shared" si="16"/>
        <v>0</v>
      </c>
      <c r="L386" s="192"/>
      <c r="N386" s="191"/>
    </row>
    <row r="387" spans="1:14">
      <c r="A387" s="195"/>
      <c r="B387" s="197"/>
      <c r="C387" s="217" t="s">
        <v>197</v>
      </c>
      <c r="D387" s="218" t="s">
        <v>184</v>
      </c>
      <c r="E387" s="311">
        <v>319910</v>
      </c>
      <c r="F387" s="319">
        <v>315000</v>
      </c>
      <c r="G387" s="311">
        <v>309750</v>
      </c>
      <c r="H387" s="311"/>
      <c r="I387" s="211">
        <f t="shared" si="16"/>
        <v>0.98333333333333328</v>
      </c>
      <c r="L387" s="192">
        <f>E387+E388+E389+E390+E393+E394+E395+E396+E397+E398+E401+E402+E403+E391+E392</f>
        <v>444972.94</v>
      </c>
      <c r="M387" s="192">
        <f>F387+F388+F389+F390+F393+F394+F395+F396+F397+F398+F401+F402+F403+F391+F392</f>
        <v>437562.94</v>
      </c>
      <c r="N387" s="191">
        <f>M387/L387</f>
        <v>0.98334730197301434</v>
      </c>
    </row>
    <row r="388" spans="1:14">
      <c r="A388" s="195"/>
      <c r="B388" s="197"/>
      <c r="C388" s="217" t="s">
        <v>403</v>
      </c>
      <c r="D388" s="218" t="s">
        <v>184</v>
      </c>
      <c r="E388" s="311">
        <v>18096.32</v>
      </c>
      <c r="F388" s="319">
        <f>E388</f>
        <v>18096.32</v>
      </c>
      <c r="G388" s="311"/>
      <c r="H388" s="311"/>
      <c r="I388" s="211">
        <f t="shared" si="16"/>
        <v>0</v>
      </c>
      <c r="L388" s="192"/>
      <c r="N388" s="191"/>
    </row>
    <row r="389" spans="1:14">
      <c r="A389" s="195"/>
      <c r="B389" s="197"/>
      <c r="C389" s="217" t="s">
        <v>262</v>
      </c>
      <c r="D389" s="218" t="s">
        <v>184</v>
      </c>
      <c r="E389" s="311">
        <v>958.04</v>
      </c>
      <c r="F389" s="319">
        <f>E389</f>
        <v>958.04</v>
      </c>
      <c r="G389" s="311"/>
      <c r="H389" s="311"/>
      <c r="I389" s="211">
        <f t="shared" si="16"/>
        <v>0</v>
      </c>
      <c r="L389" s="192">
        <f>E383-L387-E423</f>
        <v>227017.18999999994</v>
      </c>
      <c r="M389" s="192">
        <f>F383-M387-F423</f>
        <v>210015.18999999994</v>
      </c>
      <c r="N389" s="191">
        <f>M389/L389</f>
        <v>0.92510699299907639</v>
      </c>
    </row>
    <row r="390" spans="1:14">
      <c r="A390" s="195"/>
      <c r="B390" s="197"/>
      <c r="C390" s="217" t="s">
        <v>198</v>
      </c>
      <c r="D390" s="218" t="s">
        <v>185</v>
      </c>
      <c r="E390" s="311">
        <v>18776</v>
      </c>
      <c r="F390" s="319">
        <v>18776</v>
      </c>
      <c r="G390" s="311">
        <v>23300</v>
      </c>
      <c r="H390" s="311"/>
      <c r="I390" s="211">
        <f t="shared" si="16"/>
        <v>1.2409458883681295</v>
      </c>
    </row>
    <row r="391" spans="1:14">
      <c r="A391" s="195"/>
      <c r="B391" s="197"/>
      <c r="C391" s="217" t="s">
        <v>415</v>
      </c>
      <c r="D391" s="218" t="s">
        <v>185</v>
      </c>
      <c r="E391" s="311">
        <v>1830.26</v>
      </c>
      <c r="F391" s="319">
        <f>E391</f>
        <v>1830.26</v>
      </c>
      <c r="G391" s="311"/>
      <c r="H391" s="311"/>
      <c r="I391" s="211">
        <f t="shared" si="16"/>
        <v>0</v>
      </c>
    </row>
    <row r="392" spans="1:14">
      <c r="A392" s="195"/>
      <c r="B392" s="197"/>
      <c r="C392" s="217" t="s">
        <v>416</v>
      </c>
      <c r="D392" s="218" t="s">
        <v>185</v>
      </c>
      <c r="E392" s="311">
        <v>96.9</v>
      </c>
      <c r="F392" s="319">
        <f>E392</f>
        <v>96.9</v>
      </c>
      <c r="G392" s="311"/>
      <c r="H392" s="311"/>
      <c r="I392" s="211">
        <f t="shared" si="16"/>
        <v>0</v>
      </c>
    </row>
    <row r="393" spans="1:14">
      <c r="A393" s="195"/>
      <c r="B393" s="197"/>
      <c r="C393" s="217" t="s">
        <v>170</v>
      </c>
      <c r="D393" s="218" t="s">
        <v>45</v>
      </c>
      <c r="E393" s="311">
        <v>51962</v>
      </c>
      <c r="F393" s="319">
        <f>E393</f>
        <v>51962</v>
      </c>
      <c r="G393" s="311">
        <v>52650</v>
      </c>
      <c r="H393" s="311"/>
      <c r="I393" s="211">
        <f t="shared" si="16"/>
        <v>1.0132404449405334</v>
      </c>
      <c r="L393" s="192">
        <f>E386+E388+E389+E391+E392+E394+E395+E397+E398+E399+E400+E402+E403+E405+E406+E411+E412+E415+E416</f>
        <v>89593.440000000017</v>
      </c>
      <c r="M393" s="192">
        <f>F386+F388+F389+F391+F392+F394+F395+F397+F398+F399+F400+F402+F403+F405+F406+F411+F412+F415+F416</f>
        <v>89594.130000000019</v>
      </c>
    </row>
    <row r="394" spans="1:14">
      <c r="A394" s="195"/>
      <c r="B394" s="197"/>
      <c r="C394" s="217" t="s">
        <v>404</v>
      </c>
      <c r="D394" s="218" t="s">
        <v>45</v>
      </c>
      <c r="E394" s="311">
        <v>2815.38</v>
      </c>
      <c r="F394" s="319">
        <f>E394</f>
        <v>2815.38</v>
      </c>
      <c r="G394" s="311"/>
      <c r="H394" s="311"/>
      <c r="I394" s="211">
        <f t="shared" si="16"/>
        <v>0</v>
      </c>
    </row>
    <row r="395" spans="1:14">
      <c r="A395" s="195"/>
      <c r="B395" s="197"/>
      <c r="C395" s="217" t="s">
        <v>232</v>
      </c>
      <c r="D395" s="218" t="s">
        <v>45</v>
      </c>
      <c r="E395" s="311">
        <v>149.05000000000001</v>
      </c>
      <c r="F395" s="319">
        <f>E395</f>
        <v>149.05000000000001</v>
      </c>
      <c r="G395" s="311"/>
      <c r="H395" s="311"/>
      <c r="I395" s="211">
        <f t="shared" si="16"/>
        <v>0</v>
      </c>
      <c r="M395" s="192">
        <f>F388+F391+F394+F397+F399+F402+F405+F411+F415</f>
        <v>76154.420000000013</v>
      </c>
    </row>
    <row r="396" spans="1:14">
      <c r="A396" s="195"/>
      <c r="B396" s="197"/>
      <c r="C396" s="217" t="s">
        <v>171</v>
      </c>
      <c r="D396" s="218" t="s">
        <v>163</v>
      </c>
      <c r="E396" s="311">
        <v>8330</v>
      </c>
      <c r="F396" s="319">
        <v>8330</v>
      </c>
      <c r="G396" s="311">
        <v>8430</v>
      </c>
      <c r="H396" s="311"/>
      <c r="I396" s="211">
        <f t="shared" si="16"/>
        <v>1.0120048019207684</v>
      </c>
    </row>
    <row r="397" spans="1:14">
      <c r="A397" s="195"/>
      <c r="B397" s="197"/>
      <c r="C397" s="217" t="s">
        <v>405</v>
      </c>
      <c r="D397" s="218" t="s">
        <v>163</v>
      </c>
      <c r="E397" s="311">
        <v>440.66</v>
      </c>
      <c r="F397" s="319">
        <f>E397</f>
        <v>440.66</v>
      </c>
      <c r="G397" s="311"/>
      <c r="H397" s="311"/>
      <c r="I397" s="211">
        <f t="shared" si="16"/>
        <v>0</v>
      </c>
    </row>
    <row r="398" spans="1:14">
      <c r="A398" s="195"/>
      <c r="B398" s="197"/>
      <c r="C398" s="217" t="s">
        <v>234</v>
      </c>
      <c r="D398" s="218" t="s">
        <v>163</v>
      </c>
      <c r="E398" s="311">
        <v>23.33</v>
      </c>
      <c r="F398" s="319">
        <f>E398</f>
        <v>23.33</v>
      </c>
      <c r="G398" s="311"/>
      <c r="H398" s="311"/>
      <c r="I398" s="211">
        <f t="shared" si="16"/>
        <v>0</v>
      </c>
    </row>
    <row r="399" spans="1:14">
      <c r="A399" s="195"/>
      <c r="B399" s="197"/>
      <c r="C399" s="301" t="s">
        <v>417</v>
      </c>
      <c r="D399" s="302" t="s">
        <v>258</v>
      </c>
      <c r="E399" s="311">
        <v>517.26</v>
      </c>
      <c r="F399" s="319">
        <f>E399</f>
        <v>517.26</v>
      </c>
      <c r="G399" s="311"/>
      <c r="H399" s="311"/>
      <c r="I399" s="211">
        <f t="shared" si="16"/>
        <v>0</v>
      </c>
      <c r="M399" s="192">
        <f>F386+F389+F392+F395+F398+F400+F403+F406+F412+F416</f>
        <v>13439.710000000001</v>
      </c>
    </row>
    <row r="400" spans="1:14">
      <c r="A400" s="195"/>
      <c r="B400" s="197"/>
      <c r="C400" s="301" t="s">
        <v>317</v>
      </c>
      <c r="D400" s="302" t="s">
        <v>258</v>
      </c>
      <c r="E400" s="311">
        <v>27.38</v>
      </c>
      <c r="F400" s="319">
        <f>E400</f>
        <v>27.38</v>
      </c>
      <c r="G400" s="311"/>
      <c r="H400" s="311"/>
      <c r="I400" s="211">
        <f t="shared" si="16"/>
        <v>0</v>
      </c>
    </row>
    <row r="401" spans="1:13">
      <c r="A401" s="195"/>
      <c r="B401" s="197"/>
      <c r="C401" s="217" t="s">
        <v>172</v>
      </c>
      <c r="D401" s="218" t="s">
        <v>164</v>
      </c>
      <c r="E401" s="311">
        <v>11000</v>
      </c>
      <c r="F401" s="319">
        <v>8500</v>
      </c>
      <c r="G401" s="311">
        <v>11010</v>
      </c>
      <c r="H401" s="311"/>
      <c r="I401" s="211">
        <f t="shared" si="16"/>
        <v>1.2952941176470589</v>
      </c>
      <c r="M401" s="192">
        <f>F388+F391+F394+F397+F399+F402+F405+F411+F415</f>
        <v>76154.420000000013</v>
      </c>
    </row>
    <row r="402" spans="1:13">
      <c r="A402" s="195"/>
      <c r="B402" s="197"/>
      <c r="C402" s="217" t="s">
        <v>406</v>
      </c>
      <c r="D402" s="218" t="s">
        <v>164</v>
      </c>
      <c r="E402" s="311">
        <v>10052.790000000001</v>
      </c>
      <c r="F402" s="319">
        <f>E402</f>
        <v>10052.790000000001</v>
      </c>
      <c r="G402" s="311"/>
      <c r="H402" s="311"/>
      <c r="I402" s="211">
        <f t="shared" si="16"/>
        <v>0</v>
      </c>
    </row>
    <row r="403" spans="1:13">
      <c r="A403" s="195"/>
      <c r="B403" s="197"/>
      <c r="C403" s="217" t="s">
        <v>236</v>
      </c>
      <c r="D403" s="218" t="s">
        <v>164</v>
      </c>
      <c r="E403" s="311">
        <v>532.21</v>
      </c>
      <c r="F403" s="319">
        <f>E403</f>
        <v>532.21</v>
      </c>
      <c r="G403" s="311"/>
      <c r="H403" s="311"/>
      <c r="I403" s="211">
        <f t="shared" si="16"/>
        <v>0</v>
      </c>
    </row>
    <row r="404" spans="1:13">
      <c r="A404" s="195"/>
      <c r="B404" s="197"/>
      <c r="C404" s="217" t="s">
        <v>173</v>
      </c>
      <c r="D404" s="218" t="s">
        <v>11</v>
      </c>
      <c r="E404" s="311">
        <v>54002.69</v>
      </c>
      <c r="F404" s="319">
        <v>52000</v>
      </c>
      <c r="G404" s="311">
        <v>48600</v>
      </c>
      <c r="H404" s="311"/>
      <c r="I404" s="211">
        <f t="shared" si="16"/>
        <v>0.93461538461538463</v>
      </c>
    </row>
    <row r="405" spans="1:13">
      <c r="A405" s="195"/>
      <c r="B405" s="197"/>
      <c r="C405" s="217" t="s">
        <v>407</v>
      </c>
      <c r="D405" s="218" t="s">
        <v>11</v>
      </c>
      <c r="E405" s="311">
        <v>5394.94</v>
      </c>
      <c r="F405" s="319">
        <f>E405</f>
        <v>5394.94</v>
      </c>
      <c r="G405" s="311"/>
      <c r="H405" s="311"/>
      <c r="I405" s="211">
        <f t="shared" si="16"/>
        <v>0</v>
      </c>
    </row>
    <row r="406" spans="1:13">
      <c r="A406" s="195"/>
      <c r="B406" s="197"/>
      <c r="C406" s="217" t="s">
        <v>238</v>
      </c>
      <c r="D406" s="218" t="s">
        <v>11</v>
      </c>
      <c r="E406" s="311">
        <v>285.61</v>
      </c>
      <c r="F406" s="319">
        <f>E406</f>
        <v>285.61</v>
      </c>
      <c r="G406" s="311"/>
      <c r="H406" s="311"/>
      <c r="I406" s="211">
        <f t="shared" si="16"/>
        <v>0</v>
      </c>
    </row>
    <row r="407" spans="1:13">
      <c r="A407" s="195"/>
      <c r="B407" s="197"/>
      <c r="C407" s="301" t="s">
        <v>181</v>
      </c>
      <c r="D407" s="302" t="s">
        <v>24</v>
      </c>
      <c r="E407" s="311">
        <v>10000</v>
      </c>
      <c r="F407" s="319">
        <f>E407</f>
        <v>10000</v>
      </c>
      <c r="G407" s="311">
        <v>12000</v>
      </c>
      <c r="H407" s="311"/>
      <c r="I407" s="211">
        <f t="shared" si="16"/>
        <v>1.2</v>
      </c>
    </row>
    <row r="408" spans="1:13">
      <c r="A408" s="195"/>
      <c r="B408" s="197"/>
      <c r="C408" s="217" t="s">
        <v>179</v>
      </c>
      <c r="D408" s="218" t="s">
        <v>21</v>
      </c>
      <c r="E408" s="311">
        <v>2000</v>
      </c>
      <c r="F408" s="319">
        <v>2000</v>
      </c>
      <c r="G408" s="311">
        <v>4000</v>
      </c>
      <c r="H408" s="311"/>
      <c r="I408" s="211">
        <f t="shared" si="16"/>
        <v>2</v>
      </c>
    </row>
    <row r="409" spans="1:13">
      <c r="A409" s="195"/>
      <c r="B409" s="197"/>
      <c r="C409" s="217" t="s">
        <v>201</v>
      </c>
      <c r="D409" s="218" t="s">
        <v>37</v>
      </c>
      <c r="E409" s="311">
        <v>500</v>
      </c>
      <c r="F409" s="319">
        <v>400</v>
      </c>
      <c r="G409" s="311">
        <v>500</v>
      </c>
      <c r="H409" s="311"/>
      <c r="I409" s="211">
        <f t="shared" ref="I409:I472" si="17">G409/F409</f>
        <v>1.25</v>
      </c>
    </row>
    <row r="410" spans="1:13">
      <c r="A410" s="195"/>
      <c r="B410" s="197"/>
      <c r="C410" s="217" t="s">
        <v>174</v>
      </c>
      <c r="D410" s="218" t="s">
        <v>13</v>
      </c>
      <c r="E410" s="311">
        <v>55000</v>
      </c>
      <c r="F410" s="319">
        <v>50000</v>
      </c>
      <c r="G410" s="311">
        <v>53900</v>
      </c>
      <c r="H410" s="311"/>
      <c r="I410" s="211">
        <f t="shared" si="17"/>
        <v>1.0780000000000001</v>
      </c>
      <c r="L410" s="192"/>
    </row>
    <row r="411" spans="1:13">
      <c r="A411" s="195"/>
      <c r="B411" s="197"/>
      <c r="C411" s="217" t="s">
        <v>409</v>
      </c>
      <c r="D411" s="218" t="s">
        <v>13</v>
      </c>
      <c r="E411" s="311">
        <v>35012.400000000001</v>
      </c>
      <c r="F411" s="319">
        <f>E411</f>
        <v>35012.400000000001</v>
      </c>
      <c r="G411" s="311"/>
      <c r="H411" s="311"/>
      <c r="I411" s="211">
        <f t="shared" si="17"/>
        <v>0</v>
      </c>
    </row>
    <row r="412" spans="1:13">
      <c r="A412" s="195"/>
      <c r="B412" s="197"/>
      <c r="C412" s="217" t="s">
        <v>241</v>
      </c>
      <c r="D412" s="218" t="s">
        <v>13</v>
      </c>
      <c r="E412" s="311">
        <v>1853.6</v>
      </c>
      <c r="F412" s="319">
        <f>E412</f>
        <v>1853.6</v>
      </c>
      <c r="G412" s="311"/>
      <c r="H412" s="311"/>
      <c r="I412" s="211">
        <f t="shared" si="17"/>
        <v>0</v>
      </c>
    </row>
    <row r="413" spans="1:13">
      <c r="A413" s="195"/>
      <c r="B413" s="197"/>
      <c r="C413" s="217" t="s">
        <v>202</v>
      </c>
      <c r="D413" s="218" t="s">
        <v>33</v>
      </c>
      <c r="E413" s="311">
        <v>2000</v>
      </c>
      <c r="F413" s="319">
        <v>1600</v>
      </c>
      <c r="G413" s="311">
        <v>2000</v>
      </c>
      <c r="H413" s="311"/>
      <c r="I413" s="211">
        <f t="shared" si="17"/>
        <v>1.25</v>
      </c>
    </row>
    <row r="414" spans="1:13" ht="22.5">
      <c r="A414" s="195"/>
      <c r="B414" s="197"/>
      <c r="C414" s="217" t="s">
        <v>203</v>
      </c>
      <c r="D414" s="218" t="s">
        <v>204</v>
      </c>
      <c r="E414" s="311">
        <v>8000</v>
      </c>
      <c r="F414" s="319">
        <v>5000</v>
      </c>
      <c r="G414" s="311">
        <v>7000</v>
      </c>
      <c r="H414" s="311"/>
      <c r="I414" s="211">
        <f t="shared" si="17"/>
        <v>1.4</v>
      </c>
    </row>
    <row r="415" spans="1:13" ht="14.25" customHeight="1">
      <c r="A415" s="195"/>
      <c r="B415" s="197"/>
      <c r="C415" s="217" t="s">
        <v>418</v>
      </c>
      <c r="D415" s="218" t="s">
        <v>321</v>
      </c>
      <c r="E415" s="311">
        <v>1994.41</v>
      </c>
      <c r="F415" s="319">
        <f>E415</f>
        <v>1994.41</v>
      </c>
      <c r="G415" s="311"/>
      <c r="H415" s="311"/>
      <c r="I415" s="211">
        <f t="shared" si="17"/>
        <v>0</v>
      </c>
    </row>
    <row r="416" spans="1:13">
      <c r="A416" s="195"/>
      <c r="B416" s="197"/>
      <c r="C416" s="217" t="s">
        <v>320</v>
      </c>
      <c r="D416" s="218" t="s">
        <v>321</v>
      </c>
      <c r="E416" s="311">
        <v>105.59</v>
      </c>
      <c r="F416" s="319">
        <f>E416</f>
        <v>105.59</v>
      </c>
      <c r="G416" s="311"/>
      <c r="H416" s="311"/>
      <c r="I416" s="211">
        <f t="shared" si="17"/>
        <v>0</v>
      </c>
    </row>
    <row r="417" spans="1:14">
      <c r="A417" s="195"/>
      <c r="B417" s="197"/>
      <c r="C417" s="217" t="s">
        <v>175</v>
      </c>
      <c r="D417" s="218" t="s">
        <v>25</v>
      </c>
      <c r="E417" s="311">
        <v>15000</v>
      </c>
      <c r="F417" s="319">
        <v>9000</v>
      </c>
      <c r="G417" s="311">
        <v>12000</v>
      </c>
      <c r="H417" s="311"/>
      <c r="I417" s="211">
        <f t="shared" si="17"/>
        <v>1.3333333333333333</v>
      </c>
    </row>
    <row r="418" spans="1:14">
      <c r="A418" s="195"/>
      <c r="B418" s="197"/>
      <c r="C418" s="217" t="s">
        <v>176</v>
      </c>
      <c r="D418" s="218" t="s">
        <v>26</v>
      </c>
      <c r="E418" s="311">
        <v>1000</v>
      </c>
      <c r="F418" s="319">
        <v>1000</v>
      </c>
      <c r="G418" s="311">
        <v>1500</v>
      </c>
      <c r="H418" s="311"/>
      <c r="I418" s="211">
        <f t="shared" si="17"/>
        <v>1.5</v>
      </c>
    </row>
    <row r="419" spans="1:14" ht="22.5">
      <c r="A419" s="195"/>
      <c r="B419" s="197"/>
      <c r="C419" s="217" t="s">
        <v>206</v>
      </c>
      <c r="D419" s="218" t="s">
        <v>207</v>
      </c>
      <c r="E419" s="311">
        <v>9916</v>
      </c>
      <c r="F419" s="319">
        <v>9916</v>
      </c>
      <c r="G419" s="311">
        <v>11690</v>
      </c>
      <c r="H419" s="311"/>
      <c r="I419" s="211">
        <f t="shared" si="17"/>
        <v>1.1789027833803953</v>
      </c>
    </row>
    <row r="420" spans="1:14" ht="22.5">
      <c r="A420" s="195"/>
      <c r="B420" s="197"/>
      <c r="C420" s="217" t="s">
        <v>193</v>
      </c>
      <c r="D420" s="218" t="s">
        <v>189</v>
      </c>
      <c r="E420" s="311">
        <v>5000</v>
      </c>
      <c r="F420" s="319">
        <v>5000</v>
      </c>
      <c r="G420" s="311">
        <v>4000</v>
      </c>
      <c r="H420" s="311"/>
      <c r="I420" s="211">
        <f t="shared" si="17"/>
        <v>0.8</v>
      </c>
    </row>
    <row r="421" spans="1:14" ht="22.5">
      <c r="A421" s="195"/>
      <c r="B421" s="197"/>
      <c r="C421" s="217" t="s">
        <v>194</v>
      </c>
      <c r="D421" s="218" t="s">
        <v>190</v>
      </c>
      <c r="E421" s="311">
        <v>3000</v>
      </c>
      <c r="F421" s="319">
        <v>3000</v>
      </c>
      <c r="G421" s="319"/>
      <c r="H421" s="319"/>
      <c r="I421" s="211">
        <f t="shared" si="17"/>
        <v>0</v>
      </c>
    </row>
    <row r="422" spans="1:14" ht="22.5">
      <c r="A422" s="195"/>
      <c r="B422" s="197"/>
      <c r="C422" s="217" t="s">
        <v>208</v>
      </c>
      <c r="D422" s="218" t="s">
        <v>186</v>
      </c>
      <c r="E422" s="311">
        <v>5000</v>
      </c>
      <c r="F422" s="319">
        <v>5000</v>
      </c>
      <c r="G422" s="319"/>
      <c r="H422" s="319"/>
      <c r="I422" s="211">
        <f t="shared" si="17"/>
        <v>0</v>
      </c>
    </row>
    <row r="423" spans="1:14" ht="15.75" customHeight="1">
      <c r="A423" s="195"/>
      <c r="B423" s="197"/>
      <c r="C423" s="217" t="s">
        <v>180</v>
      </c>
      <c r="D423" s="218" t="s">
        <v>160</v>
      </c>
      <c r="E423" s="311">
        <v>1180000</v>
      </c>
      <c r="F423" s="319">
        <f>E423</f>
        <v>1180000</v>
      </c>
      <c r="G423" s="311"/>
      <c r="H423" s="311"/>
      <c r="I423" s="211">
        <f t="shared" si="17"/>
        <v>0</v>
      </c>
    </row>
    <row r="424" spans="1:14" ht="22.5">
      <c r="A424" s="238"/>
      <c r="B424" s="255">
        <v>85228</v>
      </c>
      <c r="C424" s="239"/>
      <c r="D424" s="240" t="s">
        <v>265</v>
      </c>
      <c r="E424" s="320">
        <f>SUM(E425:E435)</f>
        <v>207400</v>
      </c>
      <c r="F424" s="320">
        <f>SUM(F425:F435)</f>
        <v>150970</v>
      </c>
      <c r="G424" s="320">
        <f>SUM(G425:G435)</f>
        <v>172890</v>
      </c>
      <c r="H424" s="320"/>
      <c r="I424" s="241">
        <f t="shared" si="17"/>
        <v>1.1451944094853281</v>
      </c>
    </row>
    <row r="425" spans="1:14" s="243" customFormat="1" ht="45">
      <c r="A425" s="270"/>
      <c r="B425" s="309"/>
      <c r="C425" s="253" t="s">
        <v>390</v>
      </c>
      <c r="D425" s="348" t="s">
        <v>465</v>
      </c>
      <c r="E425" s="311">
        <v>500</v>
      </c>
      <c r="F425" s="319"/>
      <c r="G425" s="346"/>
      <c r="H425" s="346"/>
      <c r="I425" s="211" t="e">
        <f t="shared" si="17"/>
        <v>#DIV/0!</v>
      </c>
      <c r="M425" s="284"/>
      <c r="N425" s="284"/>
    </row>
    <row r="426" spans="1:14">
      <c r="A426" s="280"/>
      <c r="B426" s="197"/>
      <c r="C426" s="217" t="s">
        <v>195</v>
      </c>
      <c r="D426" s="218" t="s">
        <v>196</v>
      </c>
      <c r="E426" s="311">
        <v>950</v>
      </c>
      <c r="F426" s="319">
        <v>950</v>
      </c>
      <c r="G426" s="311">
        <v>522</v>
      </c>
      <c r="H426" s="311"/>
      <c r="I426" s="211">
        <f t="shared" si="17"/>
        <v>0.54947368421052634</v>
      </c>
    </row>
    <row r="427" spans="1:14">
      <c r="A427" s="195"/>
      <c r="B427" s="197"/>
      <c r="C427" s="217" t="s">
        <v>197</v>
      </c>
      <c r="D427" s="218" t="s">
        <v>184</v>
      </c>
      <c r="E427" s="311">
        <v>54335</v>
      </c>
      <c r="F427" s="319">
        <v>54335</v>
      </c>
      <c r="G427" s="311">
        <v>52514</v>
      </c>
      <c r="H427" s="311"/>
      <c r="I427" s="211">
        <f t="shared" si="17"/>
        <v>0.96648569062298706</v>
      </c>
      <c r="L427" s="192">
        <f>E427+E428+E429+E430+E431</f>
        <v>201465</v>
      </c>
      <c r="M427" s="192">
        <f>F427+F428+F429+F430+F431</f>
        <v>146065</v>
      </c>
      <c r="N427" s="191">
        <f>M427/L427</f>
        <v>0.72501427046881595</v>
      </c>
    </row>
    <row r="428" spans="1:14">
      <c r="A428" s="195"/>
      <c r="B428" s="197"/>
      <c r="C428" s="217" t="s">
        <v>198</v>
      </c>
      <c r="D428" s="218" t="s">
        <v>185</v>
      </c>
      <c r="E428" s="311">
        <v>4085</v>
      </c>
      <c r="F428" s="319">
        <v>4085</v>
      </c>
      <c r="G428" s="311">
        <v>4370</v>
      </c>
      <c r="H428" s="311"/>
      <c r="I428" s="211">
        <f t="shared" si="17"/>
        <v>1.069767441860465</v>
      </c>
      <c r="L428" s="192">
        <f>E424-L427</f>
        <v>5935</v>
      </c>
      <c r="M428" s="192">
        <f>F424-M427</f>
        <v>4905</v>
      </c>
      <c r="N428" s="191">
        <f>M428/L428</f>
        <v>0.82645324347093518</v>
      </c>
    </row>
    <row r="429" spans="1:14">
      <c r="A429" s="195"/>
      <c r="B429" s="197"/>
      <c r="C429" s="217" t="s">
        <v>170</v>
      </c>
      <c r="D429" s="218" t="s">
        <v>45</v>
      </c>
      <c r="E429" s="311">
        <v>29144</v>
      </c>
      <c r="F429" s="319">
        <v>19144</v>
      </c>
      <c r="G429" s="311">
        <v>21700</v>
      </c>
      <c r="H429" s="311"/>
      <c r="I429" s="211">
        <f t="shared" si="17"/>
        <v>1.1335144170497284</v>
      </c>
    </row>
    <row r="430" spans="1:14">
      <c r="A430" s="195"/>
      <c r="B430" s="197"/>
      <c r="C430" s="217" t="s">
        <v>171</v>
      </c>
      <c r="D430" s="218" t="s">
        <v>163</v>
      </c>
      <c r="E430" s="311">
        <v>2465</v>
      </c>
      <c r="F430" s="319">
        <v>2065</v>
      </c>
      <c r="G430" s="311">
        <v>3479</v>
      </c>
      <c r="H430" s="311"/>
      <c r="I430" s="211">
        <f t="shared" si="17"/>
        <v>1.6847457627118645</v>
      </c>
    </row>
    <row r="431" spans="1:14">
      <c r="A431" s="195"/>
      <c r="B431" s="197"/>
      <c r="C431" s="217" t="s">
        <v>172</v>
      </c>
      <c r="D431" s="218" t="s">
        <v>164</v>
      </c>
      <c r="E431" s="311">
        <v>111436</v>
      </c>
      <c r="F431" s="319">
        <v>66436</v>
      </c>
      <c r="G431" s="311">
        <v>85005</v>
      </c>
      <c r="H431" s="311"/>
      <c r="I431" s="211">
        <f t="shared" si="17"/>
        <v>1.2795020771870673</v>
      </c>
    </row>
    <row r="432" spans="1:14">
      <c r="A432" s="195"/>
      <c r="B432" s="197"/>
      <c r="C432" s="217" t="s">
        <v>173</v>
      </c>
      <c r="D432" s="218" t="s">
        <v>11</v>
      </c>
      <c r="E432" s="311">
        <v>1730</v>
      </c>
      <c r="F432" s="319">
        <v>1200</v>
      </c>
      <c r="G432" s="311">
        <v>2000</v>
      </c>
      <c r="H432" s="311"/>
      <c r="I432" s="211">
        <f t="shared" si="17"/>
        <v>1.6666666666666667</v>
      </c>
      <c r="L432" s="192"/>
    </row>
    <row r="433" spans="1:14">
      <c r="A433" s="195"/>
      <c r="B433" s="197"/>
      <c r="C433" s="217" t="s">
        <v>201</v>
      </c>
      <c r="D433" s="218" t="s">
        <v>37</v>
      </c>
      <c r="E433" s="311">
        <v>509</v>
      </c>
      <c r="F433" s="319">
        <v>509</v>
      </c>
      <c r="G433" s="311">
        <v>500</v>
      </c>
      <c r="H433" s="311"/>
      <c r="I433" s="211">
        <f t="shared" si="17"/>
        <v>0.98231827111984282</v>
      </c>
    </row>
    <row r="434" spans="1:14">
      <c r="A434" s="195"/>
      <c r="B434" s="197"/>
      <c r="C434" s="217" t="s">
        <v>175</v>
      </c>
      <c r="D434" s="218"/>
      <c r="E434" s="311">
        <v>150</v>
      </c>
      <c r="F434" s="319">
        <v>150</v>
      </c>
      <c r="G434" s="311">
        <v>300</v>
      </c>
      <c r="H434" s="311"/>
      <c r="I434" s="211">
        <f t="shared" si="17"/>
        <v>2</v>
      </c>
    </row>
    <row r="435" spans="1:14" ht="22.5">
      <c r="A435" s="195"/>
      <c r="B435" s="197"/>
      <c r="C435" s="217" t="s">
        <v>206</v>
      </c>
      <c r="D435" s="218" t="s">
        <v>207</v>
      </c>
      <c r="E435" s="311">
        <v>2096</v>
      </c>
      <c r="F435" s="319">
        <v>2096</v>
      </c>
      <c r="G435" s="311">
        <v>2500</v>
      </c>
      <c r="H435" s="311"/>
      <c r="I435" s="211">
        <f t="shared" si="17"/>
        <v>1.1927480916030535</v>
      </c>
    </row>
    <row r="436" spans="1:14" s="193" customFormat="1" hidden="1">
      <c r="A436" s="204"/>
      <c r="B436" s="216">
        <v>85278</v>
      </c>
      <c r="C436" s="229"/>
      <c r="D436" s="205" t="s">
        <v>54</v>
      </c>
      <c r="E436" s="313">
        <f>E437</f>
        <v>0</v>
      </c>
      <c r="F436" s="313">
        <f>F437</f>
        <v>0</v>
      </c>
      <c r="G436" s="313">
        <f>G437</f>
        <v>0</v>
      </c>
      <c r="H436" s="313"/>
      <c r="I436" s="211" t="e">
        <f t="shared" si="17"/>
        <v>#DIV/0!</v>
      </c>
      <c r="M436" s="207"/>
      <c r="N436" s="207"/>
    </row>
    <row r="437" spans="1:14" hidden="1">
      <c r="A437" s="231"/>
      <c r="B437" s="214"/>
      <c r="C437" s="217" t="s">
        <v>255</v>
      </c>
      <c r="D437" s="218" t="s">
        <v>51</v>
      </c>
      <c r="E437" s="311"/>
      <c r="F437" s="311"/>
      <c r="G437" s="311"/>
      <c r="H437" s="311"/>
      <c r="I437" s="211" t="e">
        <f t="shared" si="17"/>
        <v>#DIV/0!</v>
      </c>
    </row>
    <row r="438" spans="1:14">
      <c r="A438" s="204"/>
      <c r="B438" s="216">
        <v>85278</v>
      </c>
      <c r="C438" s="229"/>
      <c r="D438" s="205" t="s">
        <v>54</v>
      </c>
      <c r="E438" s="325">
        <f>E439</f>
        <v>43700</v>
      </c>
      <c r="F438" s="325">
        <f>F439</f>
        <v>43700</v>
      </c>
      <c r="G438" s="325">
        <f>G439</f>
        <v>0</v>
      </c>
      <c r="H438" s="325"/>
      <c r="I438" s="241">
        <f t="shared" si="17"/>
        <v>0</v>
      </c>
    </row>
    <row r="439" spans="1:14">
      <c r="A439" s="231"/>
      <c r="B439" s="214"/>
      <c r="C439" s="217" t="s">
        <v>255</v>
      </c>
      <c r="D439" s="218" t="s">
        <v>51</v>
      </c>
      <c r="E439" s="311">
        <v>43700</v>
      </c>
      <c r="F439" s="311">
        <v>43700</v>
      </c>
      <c r="G439" s="311"/>
      <c r="H439" s="311"/>
      <c r="I439" s="211">
        <f t="shared" si="17"/>
        <v>0</v>
      </c>
    </row>
    <row r="440" spans="1:14">
      <c r="A440" s="204"/>
      <c r="B440" s="216">
        <v>85295</v>
      </c>
      <c r="C440" s="229"/>
      <c r="D440" s="205" t="s">
        <v>17</v>
      </c>
      <c r="E440" s="313">
        <f>SUM(E441:E446)</f>
        <v>573300</v>
      </c>
      <c r="F440" s="313">
        <f>SUM(F441:F446)</f>
        <v>531060</v>
      </c>
      <c r="G440" s="313">
        <f>SUM(G441:G446)</f>
        <v>355000</v>
      </c>
      <c r="H440" s="313"/>
      <c r="I440" s="241">
        <f t="shared" si="17"/>
        <v>0.66847437201069559</v>
      </c>
      <c r="L440" s="190"/>
    </row>
    <row r="441" spans="1:14" ht="45">
      <c r="A441" s="270"/>
      <c r="B441" s="252"/>
      <c r="C441" s="347" t="s">
        <v>390</v>
      </c>
      <c r="D441" s="348" t="s">
        <v>465</v>
      </c>
      <c r="E441" s="311">
        <v>100</v>
      </c>
      <c r="F441" s="319">
        <v>0</v>
      </c>
      <c r="G441" s="349"/>
      <c r="H441" s="349"/>
      <c r="I441" s="211" t="e">
        <f t="shared" si="17"/>
        <v>#DIV/0!</v>
      </c>
      <c r="L441" s="190"/>
    </row>
    <row r="442" spans="1:14">
      <c r="A442" s="270"/>
      <c r="B442" s="197"/>
      <c r="C442" s="217" t="s">
        <v>255</v>
      </c>
      <c r="D442" s="218" t="s">
        <v>51</v>
      </c>
      <c r="E442" s="311">
        <v>399400</v>
      </c>
      <c r="F442" s="319">
        <v>357600</v>
      </c>
      <c r="G442" s="311">
        <v>334800</v>
      </c>
      <c r="H442" s="311"/>
      <c r="I442" s="211">
        <f t="shared" si="17"/>
        <v>0.93624161073825507</v>
      </c>
      <c r="L442" s="192">
        <f>E444+E445+E446</f>
        <v>158300</v>
      </c>
      <c r="M442" s="192">
        <f>F444+F445+F446</f>
        <v>157960</v>
      </c>
      <c r="N442" s="191">
        <f>M442/L442</f>
        <v>0.99785217940619075</v>
      </c>
    </row>
    <row r="443" spans="1:14">
      <c r="A443" s="195"/>
      <c r="B443" s="197"/>
      <c r="C443" s="217" t="s">
        <v>172</v>
      </c>
      <c r="D443" s="218" t="s">
        <v>164</v>
      </c>
      <c r="E443" s="311">
        <v>15500</v>
      </c>
      <c r="F443" s="319">
        <v>15500</v>
      </c>
      <c r="G443" s="311">
        <v>10000</v>
      </c>
      <c r="H443" s="311"/>
      <c r="I443" s="211">
        <f t="shared" si="17"/>
        <v>0.64516129032258063</v>
      </c>
      <c r="L443" s="192"/>
      <c r="N443" s="191"/>
    </row>
    <row r="444" spans="1:14">
      <c r="A444" s="195"/>
      <c r="B444" s="197"/>
      <c r="C444" s="217" t="s">
        <v>173</v>
      </c>
      <c r="D444" s="218" t="s">
        <v>11</v>
      </c>
      <c r="E444" s="311">
        <v>20900</v>
      </c>
      <c r="F444" s="319">
        <v>20900</v>
      </c>
      <c r="G444" s="311">
        <v>10000</v>
      </c>
      <c r="H444" s="311"/>
      <c r="I444" s="211">
        <f t="shared" si="17"/>
        <v>0.4784688995215311</v>
      </c>
    </row>
    <row r="445" spans="1:14">
      <c r="A445" s="195"/>
      <c r="B445" s="197"/>
      <c r="C445" s="217" t="s">
        <v>201</v>
      </c>
      <c r="D445" s="218" t="s">
        <v>37</v>
      </c>
      <c r="E445" s="311">
        <v>400</v>
      </c>
      <c r="F445" s="319">
        <v>60</v>
      </c>
      <c r="G445" s="311">
        <v>200</v>
      </c>
      <c r="H445" s="311"/>
      <c r="I445" s="211">
        <f t="shared" si="17"/>
        <v>3.3333333333333335</v>
      </c>
    </row>
    <row r="446" spans="1:14">
      <c r="A446" s="195"/>
      <c r="B446" s="197"/>
      <c r="C446" s="217" t="s">
        <v>267</v>
      </c>
      <c r="D446" s="218" t="s">
        <v>13</v>
      </c>
      <c r="E446" s="311">
        <v>137000</v>
      </c>
      <c r="F446" s="319">
        <f>E446</f>
        <v>137000</v>
      </c>
      <c r="G446" s="311">
        <v>0</v>
      </c>
      <c r="H446" s="311"/>
      <c r="I446" s="211">
        <f t="shared" si="17"/>
        <v>0</v>
      </c>
    </row>
    <row r="447" spans="1:14" s="193" customFormat="1" ht="22.5" hidden="1">
      <c r="A447" s="227">
        <v>853</v>
      </c>
      <c r="B447" s="215"/>
      <c r="C447" s="215"/>
      <c r="D447" s="281" t="s">
        <v>146</v>
      </c>
      <c r="E447" s="328">
        <f>E448</f>
        <v>0</v>
      </c>
      <c r="F447" s="328">
        <f>F448</f>
        <v>0</v>
      </c>
      <c r="G447" s="328">
        <f>G448</f>
        <v>0</v>
      </c>
      <c r="H447" s="328"/>
      <c r="I447" s="211" t="e">
        <f t="shared" si="17"/>
        <v>#DIV/0!</v>
      </c>
      <c r="M447" s="207"/>
      <c r="N447" s="207"/>
    </row>
    <row r="448" spans="1:14" hidden="1">
      <c r="A448" s="204"/>
      <c r="B448" s="216">
        <v>85395</v>
      </c>
      <c r="C448" s="216"/>
      <c r="D448" s="204" t="s">
        <v>17</v>
      </c>
      <c r="E448" s="327">
        <f>SUM(E449:E449)</f>
        <v>0</v>
      </c>
      <c r="F448" s="327">
        <f>SUM(F449:F449)</f>
        <v>0</v>
      </c>
      <c r="G448" s="327">
        <f>SUM(G449:G449)</f>
        <v>0</v>
      </c>
      <c r="H448" s="327"/>
      <c r="I448" s="211" t="e">
        <f t="shared" si="17"/>
        <v>#DIV/0!</v>
      </c>
    </row>
    <row r="449" spans="1:14" ht="22.5" hidden="1">
      <c r="A449" s="195"/>
      <c r="B449" s="197"/>
      <c r="C449" s="217" t="s">
        <v>182</v>
      </c>
      <c r="D449" s="218" t="s">
        <v>34</v>
      </c>
      <c r="E449" s="311"/>
      <c r="F449" s="311"/>
      <c r="G449" s="311"/>
      <c r="H449" s="311"/>
      <c r="I449" s="211" t="e">
        <f t="shared" si="17"/>
        <v>#DIV/0!</v>
      </c>
    </row>
    <row r="450" spans="1:14" ht="13.5">
      <c r="A450" s="227">
        <v>854</v>
      </c>
      <c r="B450" s="215"/>
      <c r="C450" s="271"/>
      <c r="D450" s="227" t="s">
        <v>55</v>
      </c>
      <c r="E450" s="329">
        <f>E451+E466+E468</f>
        <v>333141</v>
      </c>
      <c r="F450" s="329">
        <f>F451+F466+F468</f>
        <v>273568.40000000002</v>
      </c>
      <c r="G450" s="329">
        <f>G451+G466+G468</f>
        <v>132989</v>
      </c>
      <c r="H450" s="329"/>
      <c r="I450" s="282">
        <f t="shared" si="17"/>
        <v>0.48612705268590961</v>
      </c>
    </row>
    <row r="451" spans="1:14">
      <c r="A451" s="204"/>
      <c r="B451" s="216">
        <v>85401</v>
      </c>
      <c r="C451" s="229"/>
      <c r="D451" s="205" t="s">
        <v>268</v>
      </c>
      <c r="E451" s="313">
        <f>SUM(E452:E465)</f>
        <v>191081</v>
      </c>
      <c r="F451" s="313">
        <f>SUM(F452:F465)</f>
        <v>151336</v>
      </c>
      <c r="G451" s="313">
        <f>SUM(G452:G465)</f>
        <v>127389</v>
      </c>
      <c r="H451" s="313"/>
      <c r="I451" s="241">
        <f t="shared" si="17"/>
        <v>0.84176270021673627</v>
      </c>
    </row>
    <row r="452" spans="1:14">
      <c r="A452" s="270"/>
      <c r="B452" s="197"/>
      <c r="C452" s="217" t="s">
        <v>195</v>
      </c>
      <c r="D452" s="218" t="s">
        <v>196</v>
      </c>
      <c r="E452" s="311">
        <v>13490</v>
      </c>
      <c r="F452" s="319">
        <v>12100</v>
      </c>
      <c r="G452" s="311">
        <v>8450</v>
      </c>
      <c r="H452" s="311"/>
      <c r="I452" s="211">
        <f t="shared" si="17"/>
        <v>0.69834710743801653</v>
      </c>
      <c r="L452" s="192"/>
      <c r="N452" s="191"/>
    </row>
    <row r="453" spans="1:14">
      <c r="A453" s="195"/>
      <c r="B453" s="197"/>
      <c r="C453" s="217" t="s">
        <v>197</v>
      </c>
      <c r="D453" s="218" t="s">
        <v>184</v>
      </c>
      <c r="E453" s="311">
        <v>120920</v>
      </c>
      <c r="F453" s="319">
        <v>87000</v>
      </c>
      <c r="G453" s="311">
        <v>78100</v>
      </c>
      <c r="H453" s="311"/>
      <c r="I453" s="211">
        <f t="shared" si="17"/>
        <v>0.89770114942528734</v>
      </c>
      <c r="L453" s="192">
        <f>E453+E454+E455+E456</f>
        <v>155835</v>
      </c>
      <c r="M453" s="192">
        <f>F453+F454+F455+F456</f>
        <v>120200</v>
      </c>
      <c r="N453" s="191">
        <f>M453/L453</f>
        <v>0.77132864889145569</v>
      </c>
    </row>
    <row r="454" spans="1:14">
      <c r="A454" s="195"/>
      <c r="B454" s="197"/>
      <c r="C454" s="217" t="s">
        <v>198</v>
      </c>
      <c r="D454" s="218" t="s">
        <v>185</v>
      </c>
      <c r="E454" s="311">
        <v>10465</v>
      </c>
      <c r="F454" s="319">
        <v>10000</v>
      </c>
      <c r="G454" s="311">
        <v>7550</v>
      </c>
      <c r="H454" s="311"/>
      <c r="I454" s="211">
        <f t="shared" si="17"/>
        <v>0.755</v>
      </c>
      <c r="L454" s="192">
        <f>E451-L453</f>
        <v>35246</v>
      </c>
      <c r="M454" s="192">
        <f>F451-M453</f>
        <v>31136</v>
      </c>
      <c r="N454" s="191">
        <f>M454/L454</f>
        <v>0.88339102309481932</v>
      </c>
    </row>
    <row r="455" spans="1:14">
      <c r="A455" s="195"/>
      <c r="B455" s="197"/>
      <c r="C455" s="217" t="s">
        <v>170</v>
      </c>
      <c r="D455" s="218" t="s">
        <v>45</v>
      </c>
      <c r="E455" s="311">
        <v>21010</v>
      </c>
      <c r="F455" s="319">
        <v>20000</v>
      </c>
      <c r="G455" s="311">
        <v>14350</v>
      </c>
      <c r="H455" s="311"/>
      <c r="I455" s="211">
        <f t="shared" si="17"/>
        <v>0.71750000000000003</v>
      </c>
      <c r="M455" s="192">
        <f>M454-F452-F463-F459</f>
        <v>6140</v>
      </c>
    </row>
    <row r="456" spans="1:14">
      <c r="A456" s="195"/>
      <c r="B456" s="197"/>
      <c r="C456" s="217" t="s">
        <v>171</v>
      </c>
      <c r="D456" s="218" t="s">
        <v>163</v>
      </c>
      <c r="E456" s="311">
        <v>3440</v>
      </c>
      <c r="F456" s="319">
        <v>3200</v>
      </c>
      <c r="G456" s="311">
        <v>2350</v>
      </c>
      <c r="H456" s="311"/>
      <c r="I456" s="211">
        <f t="shared" si="17"/>
        <v>0.734375</v>
      </c>
    </row>
    <row r="457" spans="1:14">
      <c r="A457" s="195"/>
      <c r="B457" s="197"/>
      <c r="C457" s="217" t="s">
        <v>173</v>
      </c>
      <c r="D457" s="218" t="s">
        <v>11</v>
      </c>
      <c r="E457" s="311">
        <v>4800</v>
      </c>
      <c r="F457" s="319">
        <v>2340</v>
      </c>
      <c r="G457" s="311">
        <v>1400</v>
      </c>
      <c r="H457" s="311"/>
      <c r="I457" s="211">
        <f t="shared" si="17"/>
        <v>0.59829059829059827</v>
      </c>
    </row>
    <row r="458" spans="1:14" ht="22.5">
      <c r="A458" s="195"/>
      <c r="B458" s="197"/>
      <c r="C458" s="217" t="s">
        <v>227</v>
      </c>
      <c r="D458" s="218" t="s">
        <v>228</v>
      </c>
      <c r="E458" s="311">
        <v>1150</v>
      </c>
      <c r="F458" s="319">
        <v>1000</v>
      </c>
      <c r="G458" s="311">
        <v>1000</v>
      </c>
      <c r="H458" s="311"/>
      <c r="I458" s="211">
        <f t="shared" si="17"/>
        <v>1</v>
      </c>
    </row>
    <row r="459" spans="1:14">
      <c r="A459" s="195"/>
      <c r="B459" s="197"/>
      <c r="C459" s="217" t="s">
        <v>181</v>
      </c>
      <c r="D459" s="218" t="s">
        <v>24</v>
      </c>
      <c r="E459" s="311">
        <v>5500</v>
      </c>
      <c r="F459" s="319">
        <v>5500</v>
      </c>
      <c r="G459" s="311">
        <v>5900</v>
      </c>
      <c r="H459" s="311"/>
      <c r="I459" s="211">
        <f t="shared" si="17"/>
        <v>1.0727272727272728</v>
      </c>
    </row>
    <row r="460" spans="1:14">
      <c r="A460" s="195"/>
      <c r="B460" s="197"/>
      <c r="C460" s="217" t="s">
        <v>201</v>
      </c>
      <c r="D460" s="218" t="s">
        <v>37</v>
      </c>
      <c r="E460" s="311">
        <v>410</v>
      </c>
      <c r="F460" s="319">
        <v>300</v>
      </c>
      <c r="G460" s="311">
        <v>310</v>
      </c>
      <c r="H460" s="311"/>
      <c r="I460" s="211">
        <f t="shared" si="17"/>
        <v>1.0333333333333334</v>
      </c>
    </row>
    <row r="461" spans="1:14">
      <c r="A461" s="195"/>
      <c r="B461" s="197"/>
      <c r="C461" s="217" t="s">
        <v>175</v>
      </c>
      <c r="D461" s="218" t="s">
        <v>25</v>
      </c>
      <c r="E461" s="311">
        <v>200</v>
      </c>
      <c r="F461" s="319">
        <v>200</v>
      </c>
      <c r="G461" s="311">
        <v>200</v>
      </c>
      <c r="H461" s="311"/>
      <c r="I461" s="211">
        <f t="shared" si="17"/>
        <v>1</v>
      </c>
    </row>
    <row r="462" spans="1:14">
      <c r="A462" s="195"/>
      <c r="B462" s="197"/>
      <c r="C462" s="217" t="s">
        <v>176</v>
      </c>
      <c r="D462" s="218" t="s">
        <v>26</v>
      </c>
      <c r="E462" s="311">
        <v>1600</v>
      </c>
      <c r="F462" s="319">
        <v>1600</v>
      </c>
      <c r="G462" s="311">
        <v>1700</v>
      </c>
      <c r="H462" s="311"/>
      <c r="I462" s="211">
        <f t="shared" si="17"/>
        <v>1.0625</v>
      </c>
      <c r="L462" s="284"/>
    </row>
    <row r="463" spans="1:14" ht="22.5">
      <c r="A463" s="195"/>
      <c r="B463" s="197"/>
      <c r="C463" s="217" t="s">
        <v>206</v>
      </c>
      <c r="D463" s="218" t="s">
        <v>207</v>
      </c>
      <c r="E463" s="311">
        <v>7396</v>
      </c>
      <c r="F463" s="319">
        <v>7396</v>
      </c>
      <c r="G463" s="311">
        <v>6079</v>
      </c>
      <c r="H463" s="311"/>
      <c r="I463" s="211">
        <f t="shared" si="17"/>
        <v>0.82193077339102216</v>
      </c>
    </row>
    <row r="464" spans="1:14" ht="22.5">
      <c r="A464" s="195"/>
      <c r="B464" s="197"/>
      <c r="C464" s="217" t="s">
        <v>194</v>
      </c>
      <c r="D464" s="218" t="s">
        <v>190</v>
      </c>
      <c r="E464" s="311">
        <v>500</v>
      </c>
      <c r="F464" s="319">
        <v>500</v>
      </c>
      <c r="G464" s="319"/>
      <c r="H464" s="319"/>
      <c r="I464" s="211">
        <f t="shared" si="17"/>
        <v>0</v>
      </c>
    </row>
    <row r="465" spans="1:14" ht="22.5">
      <c r="A465" s="195"/>
      <c r="B465" s="197"/>
      <c r="C465" s="217" t="s">
        <v>208</v>
      </c>
      <c r="D465" s="218" t="s">
        <v>186</v>
      </c>
      <c r="E465" s="311">
        <v>200</v>
      </c>
      <c r="F465" s="319">
        <v>200</v>
      </c>
      <c r="G465" s="319">
        <v>0</v>
      </c>
      <c r="H465" s="319"/>
      <c r="I465" s="211">
        <f t="shared" si="17"/>
        <v>0</v>
      </c>
    </row>
    <row r="466" spans="1:14" s="193" customFormat="1" ht="22.5">
      <c r="A466" s="204"/>
      <c r="B466" s="216">
        <v>85406</v>
      </c>
      <c r="C466" s="229"/>
      <c r="D466" s="205" t="s">
        <v>269</v>
      </c>
      <c r="E466" s="327">
        <f>E467</f>
        <v>5000</v>
      </c>
      <c r="F466" s="327">
        <f>F467</f>
        <v>5000</v>
      </c>
      <c r="G466" s="327">
        <f>G467</f>
        <v>5600</v>
      </c>
      <c r="H466" s="327"/>
      <c r="I466" s="241">
        <f t="shared" si="17"/>
        <v>1.1200000000000001</v>
      </c>
      <c r="M466" s="207"/>
      <c r="N466" s="207"/>
    </row>
    <row r="467" spans="1:14" ht="45">
      <c r="A467" s="231"/>
      <c r="B467" s="197"/>
      <c r="C467" s="217" t="s">
        <v>168</v>
      </c>
      <c r="D467" s="218" t="s">
        <v>166</v>
      </c>
      <c r="E467" s="311">
        <v>5000</v>
      </c>
      <c r="F467" s="311">
        <f>E467</f>
        <v>5000</v>
      </c>
      <c r="G467" s="311">
        <v>5600</v>
      </c>
      <c r="H467" s="311"/>
      <c r="I467" s="211">
        <f t="shared" si="17"/>
        <v>1.1200000000000001</v>
      </c>
    </row>
    <row r="468" spans="1:14">
      <c r="A468" s="204"/>
      <c r="B468" s="216">
        <v>85415</v>
      </c>
      <c r="C468" s="229"/>
      <c r="D468" s="205" t="s">
        <v>270</v>
      </c>
      <c r="E468" s="313">
        <f>SUM(E469:E472)</f>
        <v>137060</v>
      </c>
      <c r="F468" s="313">
        <f>SUM(F469:F472)</f>
        <v>117232.40000000001</v>
      </c>
      <c r="G468" s="313">
        <f>SUM(G469:G472)</f>
        <v>0</v>
      </c>
      <c r="H468" s="313"/>
      <c r="I468" s="241">
        <f t="shared" si="17"/>
        <v>0</v>
      </c>
    </row>
    <row r="469" spans="1:14" ht="56.25">
      <c r="A469" s="231"/>
      <c r="B469" s="220"/>
      <c r="C469" s="301" t="s">
        <v>390</v>
      </c>
      <c r="D469" s="302" t="s">
        <v>391</v>
      </c>
      <c r="E469" s="311">
        <v>1308</v>
      </c>
      <c r="F469" s="311">
        <v>1308</v>
      </c>
      <c r="G469" s="311">
        <v>0</v>
      </c>
      <c r="H469" s="311"/>
      <c r="I469" s="211">
        <f t="shared" si="17"/>
        <v>0</v>
      </c>
    </row>
    <row r="470" spans="1:14">
      <c r="A470" s="270"/>
      <c r="B470" s="197"/>
      <c r="C470" s="217" t="s">
        <v>271</v>
      </c>
      <c r="D470" s="218" t="s">
        <v>272</v>
      </c>
      <c r="E470" s="311">
        <v>116597</v>
      </c>
      <c r="F470" s="311">
        <v>115905.8</v>
      </c>
      <c r="G470" s="311">
        <v>0</v>
      </c>
      <c r="H470" s="311"/>
      <c r="I470" s="211">
        <f t="shared" si="17"/>
        <v>0</v>
      </c>
      <c r="J470" s="211">
        <f>G470/F470</f>
        <v>0</v>
      </c>
      <c r="K470" s="211" t="e">
        <f>I470/G470</f>
        <v>#DIV/0!</v>
      </c>
    </row>
    <row r="471" spans="1:14">
      <c r="A471" s="195"/>
      <c r="B471" s="197"/>
      <c r="C471" s="217" t="s">
        <v>273</v>
      </c>
      <c r="D471" s="218" t="s">
        <v>274</v>
      </c>
      <c r="E471" s="311">
        <v>19136</v>
      </c>
      <c r="F471" s="311">
        <v>0</v>
      </c>
      <c r="G471" s="311"/>
      <c r="H471" s="311"/>
      <c r="I471" s="211" t="e">
        <f t="shared" si="17"/>
        <v>#DIV/0!</v>
      </c>
    </row>
    <row r="472" spans="1:14" ht="56.25">
      <c r="A472" s="195"/>
      <c r="B472" s="197"/>
      <c r="C472" s="301" t="s">
        <v>392</v>
      </c>
      <c r="D472" s="302" t="s">
        <v>393</v>
      </c>
      <c r="E472" s="311">
        <v>19</v>
      </c>
      <c r="F472" s="311">
        <v>18.600000000000001</v>
      </c>
      <c r="G472" s="311">
        <v>0</v>
      </c>
      <c r="H472" s="311"/>
      <c r="I472" s="211">
        <f t="shared" si="17"/>
        <v>0</v>
      </c>
    </row>
    <row r="473" spans="1:14" s="193" customFormat="1" ht="16.5" customHeight="1">
      <c r="A473" s="227">
        <v>900</v>
      </c>
      <c r="B473" s="227"/>
      <c r="C473" s="228"/>
      <c r="D473" s="201" t="s">
        <v>275</v>
      </c>
      <c r="E473" s="312">
        <f>E474+E480+E483+E486+E490+E492+E497</f>
        <v>2206842</v>
      </c>
      <c r="F473" s="312">
        <f>F474+F480+F483+F490+F492+F497</f>
        <v>1977123.93</v>
      </c>
      <c r="G473" s="312">
        <f>G474+G480+G483+G490+G492+G497+G486</f>
        <v>1321701</v>
      </c>
      <c r="H473" s="312"/>
      <c r="I473" s="282">
        <f t="shared" ref="I473:I536" si="18">G473/F473</f>
        <v>0.66849678967772141</v>
      </c>
      <c r="M473" s="207"/>
      <c r="N473" s="207"/>
    </row>
    <row r="474" spans="1:14">
      <c r="A474" s="203"/>
      <c r="B474" s="216">
        <v>90001</v>
      </c>
      <c r="C474" s="229"/>
      <c r="D474" s="205" t="s">
        <v>57</v>
      </c>
      <c r="E474" s="313">
        <f>SUM(E475:E479)</f>
        <v>1031685</v>
      </c>
      <c r="F474" s="313">
        <f>SUM(F475:F479)</f>
        <v>995086.42</v>
      </c>
      <c r="G474" s="313">
        <f>SUM(G475:G479)</f>
        <v>329470</v>
      </c>
      <c r="H474" s="313"/>
      <c r="I474" s="241">
        <f t="shared" si="18"/>
        <v>0.33109687096322749</v>
      </c>
    </row>
    <row r="475" spans="1:14" s="212" customFormat="1" ht="22.5">
      <c r="A475" s="230"/>
      <c r="B475" s="214"/>
      <c r="C475" s="217" t="s">
        <v>178</v>
      </c>
      <c r="D475" s="218" t="s">
        <v>165</v>
      </c>
      <c r="E475" s="311">
        <v>251685</v>
      </c>
      <c r="F475" s="311">
        <f>E475</f>
        <v>251685</v>
      </c>
      <c r="G475" s="311">
        <v>279470</v>
      </c>
      <c r="H475" s="311"/>
      <c r="I475" s="211">
        <f t="shared" si="18"/>
        <v>1.1103959314222143</v>
      </c>
      <c r="L475" s="283"/>
      <c r="M475" s="213">
        <f>F474-F479-F478</f>
        <v>260086.42000000004</v>
      </c>
      <c r="N475" s="213"/>
    </row>
    <row r="476" spans="1:14" s="212" customFormat="1">
      <c r="A476" s="208"/>
      <c r="B476" s="214"/>
      <c r="C476" s="217" t="s">
        <v>179</v>
      </c>
      <c r="D476" s="218" t="s">
        <v>21</v>
      </c>
      <c r="E476" s="311">
        <v>10000</v>
      </c>
      <c r="F476" s="311">
        <v>8401.42</v>
      </c>
      <c r="G476" s="311">
        <v>10000</v>
      </c>
      <c r="H476" s="311"/>
      <c r="I476" s="211">
        <f t="shared" si="18"/>
        <v>1.1902749773252617</v>
      </c>
      <c r="M476" s="213"/>
      <c r="N476" s="213"/>
    </row>
    <row r="477" spans="1:14" s="212" customFormat="1">
      <c r="A477" s="208"/>
      <c r="B477" s="214"/>
      <c r="C477" s="217" t="s">
        <v>174</v>
      </c>
      <c r="D477" s="218" t="s">
        <v>13</v>
      </c>
      <c r="E477" s="311">
        <v>35000</v>
      </c>
      <c r="F477" s="311">
        <v>0</v>
      </c>
      <c r="G477" s="311">
        <v>10000</v>
      </c>
      <c r="H477" s="311"/>
      <c r="I477" s="211" t="e">
        <f t="shared" si="18"/>
        <v>#DIV/0!</v>
      </c>
      <c r="M477" s="213"/>
      <c r="N477" s="213"/>
    </row>
    <row r="478" spans="1:14" s="212" customFormat="1">
      <c r="A478" s="208"/>
      <c r="B478" s="214"/>
      <c r="C478" s="217" t="s">
        <v>180</v>
      </c>
      <c r="D478" s="218" t="s">
        <v>160</v>
      </c>
      <c r="E478" s="311">
        <v>700000</v>
      </c>
      <c r="F478" s="311">
        <f>E478</f>
        <v>700000</v>
      </c>
      <c r="G478" s="311">
        <v>30000</v>
      </c>
      <c r="H478" s="311"/>
      <c r="I478" s="211">
        <f t="shared" si="18"/>
        <v>4.2857142857142858E-2</v>
      </c>
      <c r="M478" s="213"/>
      <c r="N478" s="213"/>
    </row>
    <row r="479" spans="1:14" ht="45">
      <c r="A479" s="208"/>
      <c r="B479" s="197"/>
      <c r="C479" s="217" t="s">
        <v>276</v>
      </c>
      <c r="D479" s="218" t="s">
        <v>277</v>
      </c>
      <c r="E479" s="311">
        <v>35000</v>
      </c>
      <c r="F479" s="311">
        <f>E479</f>
        <v>35000</v>
      </c>
      <c r="G479" s="311">
        <v>0</v>
      </c>
      <c r="H479" s="311"/>
      <c r="I479" s="211">
        <f t="shared" si="18"/>
        <v>0</v>
      </c>
    </row>
    <row r="480" spans="1:14">
      <c r="A480" s="203"/>
      <c r="B480" s="216">
        <v>90002</v>
      </c>
      <c r="C480" s="229"/>
      <c r="D480" s="205" t="s">
        <v>130</v>
      </c>
      <c r="E480" s="327">
        <f>SUM(E481:E482)</f>
        <v>130000</v>
      </c>
      <c r="F480" s="327">
        <f>SUM(F481:F482)</f>
        <v>96000</v>
      </c>
      <c r="G480" s="327">
        <f>SUM(G481:G482)</f>
        <v>101000</v>
      </c>
      <c r="H480" s="327"/>
      <c r="I480" s="241">
        <f t="shared" si="18"/>
        <v>1.0520833333333333</v>
      </c>
    </row>
    <row r="481" spans="1:14">
      <c r="A481" s="270"/>
      <c r="B481" s="195"/>
      <c r="C481" s="217" t="s">
        <v>173</v>
      </c>
      <c r="D481" s="218" t="s">
        <v>11</v>
      </c>
      <c r="E481" s="311">
        <v>16000</v>
      </c>
      <c r="F481" s="311">
        <v>16000</v>
      </c>
      <c r="G481" s="311">
        <v>15000</v>
      </c>
      <c r="H481" s="311"/>
      <c r="I481" s="211">
        <f t="shared" si="18"/>
        <v>0.9375</v>
      </c>
    </row>
    <row r="482" spans="1:14">
      <c r="A482" s="233"/>
      <c r="B482" s="195"/>
      <c r="C482" s="217" t="s">
        <v>174</v>
      </c>
      <c r="D482" s="218" t="s">
        <v>13</v>
      </c>
      <c r="E482" s="311">
        <v>114000</v>
      </c>
      <c r="F482" s="311">
        <v>80000</v>
      </c>
      <c r="G482" s="311">
        <v>86000</v>
      </c>
      <c r="H482" s="311"/>
      <c r="I482" s="211">
        <f t="shared" si="18"/>
        <v>1.075</v>
      </c>
    </row>
    <row r="483" spans="1:14">
      <c r="A483" s="203"/>
      <c r="B483" s="216">
        <v>90003</v>
      </c>
      <c r="C483" s="229"/>
      <c r="D483" s="205" t="s">
        <v>58</v>
      </c>
      <c r="E483" s="313">
        <f>SUM(E484:E485)</f>
        <v>240512</v>
      </c>
      <c r="F483" s="313">
        <f>SUM(F484:F485)</f>
        <v>215512</v>
      </c>
      <c r="G483" s="313">
        <f>SUM(G484:G485)</f>
        <v>198731</v>
      </c>
      <c r="H483" s="313"/>
      <c r="I483" s="241">
        <f t="shared" si="18"/>
        <v>0.92213426630535655</v>
      </c>
    </row>
    <row r="484" spans="1:14" s="212" customFormat="1" ht="22.5">
      <c r="A484" s="270"/>
      <c r="B484" s="197"/>
      <c r="C484" s="217" t="s">
        <v>178</v>
      </c>
      <c r="D484" s="218" t="s">
        <v>165</v>
      </c>
      <c r="E484" s="311">
        <v>200512</v>
      </c>
      <c r="F484" s="311">
        <f>E484</f>
        <v>200512</v>
      </c>
      <c r="G484" s="311">
        <v>182731</v>
      </c>
      <c r="H484" s="311"/>
      <c r="I484" s="211">
        <f t="shared" si="18"/>
        <v>0.91132201563996174</v>
      </c>
      <c r="M484" s="213"/>
      <c r="N484" s="213"/>
    </row>
    <row r="485" spans="1:14">
      <c r="A485" s="195"/>
      <c r="B485" s="214"/>
      <c r="C485" s="217" t="s">
        <v>174</v>
      </c>
      <c r="D485" s="218" t="s">
        <v>13</v>
      </c>
      <c r="E485" s="311">
        <v>40000</v>
      </c>
      <c r="F485" s="311">
        <v>15000</v>
      </c>
      <c r="G485" s="311">
        <v>16000</v>
      </c>
      <c r="H485" s="311"/>
      <c r="I485" s="211">
        <f t="shared" si="18"/>
        <v>1.0666666666666667</v>
      </c>
    </row>
    <row r="486" spans="1:14">
      <c r="A486" s="204"/>
      <c r="B486" s="216">
        <v>90004</v>
      </c>
      <c r="C486" s="229"/>
      <c r="D486" s="205" t="s">
        <v>59</v>
      </c>
      <c r="E486" s="313">
        <f>SUM(E487:E489)</f>
        <v>37436</v>
      </c>
      <c r="F486" s="313">
        <f>SUM(F487:F489)</f>
        <v>23889.190000000002</v>
      </c>
      <c r="G486" s="313">
        <f>SUM(G487:G489)</f>
        <v>24500</v>
      </c>
      <c r="H486" s="313">
        <f>SUM(H487:H489)</f>
        <v>24475.25</v>
      </c>
      <c r="I486" s="241">
        <f t="shared" si="18"/>
        <v>1.0255684684160491</v>
      </c>
    </row>
    <row r="487" spans="1:14">
      <c r="A487" s="231"/>
      <c r="B487" s="220"/>
      <c r="C487" s="217" t="s">
        <v>173</v>
      </c>
      <c r="D487" s="218" t="s">
        <v>11</v>
      </c>
      <c r="E487" s="311">
        <v>10762</v>
      </c>
      <c r="F487" s="311">
        <v>8401.59</v>
      </c>
      <c r="G487" s="311">
        <v>17500</v>
      </c>
      <c r="H487" s="358">
        <v>17475.25</v>
      </c>
      <c r="I487" s="211">
        <f t="shared" si="18"/>
        <v>2.0829390627250319</v>
      </c>
      <c r="L487" s="192">
        <f>E487+E488</f>
        <v>25462</v>
      </c>
      <c r="M487" s="192">
        <f>F487+F488</f>
        <v>11915.19</v>
      </c>
      <c r="N487" s="191">
        <f>M487/L487</f>
        <v>0.46795970465792164</v>
      </c>
    </row>
    <row r="488" spans="1:14">
      <c r="A488" s="231"/>
      <c r="B488" s="214"/>
      <c r="C488" s="217" t="s">
        <v>174</v>
      </c>
      <c r="D488" s="218" t="s">
        <v>13</v>
      </c>
      <c r="E488" s="311">
        <v>14700</v>
      </c>
      <c r="F488" s="311">
        <v>3513.6</v>
      </c>
      <c r="G488" s="311">
        <v>2000</v>
      </c>
      <c r="H488" s="358">
        <v>2000</v>
      </c>
      <c r="I488" s="211">
        <f t="shared" si="18"/>
        <v>0.56921675774134795</v>
      </c>
    </row>
    <row r="489" spans="1:14" ht="22.5">
      <c r="A489" s="231"/>
      <c r="B489" s="214"/>
      <c r="C489" s="301" t="s">
        <v>182</v>
      </c>
      <c r="D489" s="302" t="s">
        <v>34</v>
      </c>
      <c r="E489" s="311">
        <v>11974</v>
      </c>
      <c r="F489" s="311">
        <v>11974</v>
      </c>
      <c r="G489" s="311">
        <v>5000</v>
      </c>
      <c r="H489" s="358">
        <v>5000</v>
      </c>
      <c r="I489" s="211">
        <f t="shared" si="18"/>
        <v>0.41757140471020543</v>
      </c>
    </row>
    <row r="490" spans="1:14">
      <c r="A490" s="204"/>
      <c r="B490" s="216">
        <v>90013</v>
      </c>
      <c r="C490" s="229"/>
      <c r="D490" s="205" t="s">
        <v>60</v>
      </c>
      <c r="E490" s="313">
        <f>E491</f>
        <v>15000</v>
      </c>
      <c r="F490" s="313">
        <f>F491</f>
        <v>15000</v>
      </c>
      <c r="G490" s="313">
        <f>G491</f>
        <v>15000</v>
      </c>
      <c r="H490" s="313"/>
      <c r="I490" s="241">
        <f t="shared" si="18"/>
        <v>1</v>
      </c>
    </row>
    <row r="491" spans="1:14">
      <c r="A491" s="231"/>
      <c r="B491" s="214"/>
      <c r="C491" s="217" t="s">
        <v>174</v>
      </c>
      <c r="D491" s="218" t="s">
        <v>13</v>
      </c>
      <c r="E491" s="311">
        <v>15000</v>
      </c>
      <c r="F491" s="311">
        <f>E491</f>
        <v>15000</v>
      </c>
      <c r="G491" s="311">
        <v>15000</v>
      </c>
      <c r="H491" s="311"/>
      <c r="I491" s="211">
        <f t="shared" si="18"/>
        <v>1</v>
      </c>
    </row>
    <row r="492" spans="1:14">
      <c r="A492" s="204"/>
      <c r="B492" s="216">
        <v>90015</v>
      </c>
      <c r="C492" s="229"/>
      <c r="D492" s="205" t="s">
        <v>278</v>
      </c>
      <c r="E492" s="313">
        <f>SUM(E493:E495)</f>
        <v>633000</v>
      </c>
      <c r="F492" s="313">
        <f>SUM(F493:F496)</f>
        <v>576500</v>
      </c>
      <c r="G492" s="313">
        <f>SUM(G493:G496)</f>
        <v>630000</v>
      </c>
      <c r="H492" s="313"/>
      <c r="I492" s="241">
        <f t="shared" si="18"/>
        <v>1.0928013876843019</v>
      </c>
    </row>
    <row r="493" spans="1:14" s="243" customFormat="1">
      <c r="A493" s="231"/>
      <c r="B493" s="220"/>
      <c r="C493" s="217" t="s">
        <v>172</v>
      </c>
      <c r="D493" s="218" t="s">
        <v>164</v>
      </c>
      <c r="E493" s="311">
        <v>1500</v>
      </c>
      <c r="F493" s="311">
        <f>E493</f>
        <v>1500</v>
      </c>
      <c r="G493" s="311">
        <v>0</v>
      </c>
      <c r="H493" s="311"/>
      <c r="I493" s="285">
        <f t="shared" si="18"/>
        <v>0</v>
      </c>
      <c r="M493" s="284"/>
      <c r="N493" s="284"/>
    </row>
    <row r="494" spans="1:14">
      <c r="A494" s="270"/>
      <c r="B494" s="214"/>
      <c r="C494" s="217" t="s">
        <v>181</v>
      </c>
      <c r="D494" s="218" t="s">
        <v>24</v>
      </c>
      <c r="E494" s="311">
        <v>248500</v>
      </c>
      <c r="F494" s="311">
        <v>230000</v>
      </c>
      <c r="G494" s="311">
        <v>250000</v>
      </c>
      <c r="H494" s="311"/>
      <c r="I494" s="211">
        <f t="shared" si="18"/>
        <v>1.0869565217391304</v>
      </c>
    </row>
    <row r="495" spans="1:14">
      <c r="A495" s="195"/>
      <c r="B495" s="214"/>
      <c r="C495" s="217" t="s">
        <v>174</v>
      </c>
      <c r="D495" s="218" t="s">
        <v>13</v>
      </c>
      <c r="E495" s="311">
        <v>383000</v>
      </c>
      <c r="F495" s="311">
        <v>345000</v>
      </c>
      <c r="G495" s="311">
        <v>380000</v>
      </c>
      <c r="H495" s="311"/>
      <c r="I495" s="211">
        <f t="shared" si="18"/>
        <v>1.1014492753623188</v>
      </c>
      <c r="L495" s="192">
        <f>E495+E494</f>
        <v>631500</v>
      </c>
      <c r="M495" s="192">
        <f>F495+F494</f>
        <v>575000</v>
      </c>
    </row>
    <row r="496" spans="1:14" hidden="1">
      <c r="A496" s="195"/>
      <c r="B496" s="214"/>
      <c r="C496" s="217" t="s">
        <v>180</v>
      </c>
      <c r="D496" s="218" t="s">
        <v>160</v>
      </c>
      <c r="E496" s="311"/>
      <c r="F496" s="311"/>
      <c r="G496" s="311"/>
      <c r="H496" s="311"/>
      <c r="I496" s="211" t="e">
        <f t="shared" si="18"/>
        <v>#DIV/0!</v>
      </c>
    </row>
    <row r="497" spans="1:14">
      <c r="A497" s="204"/>
      <c r="B497" s="216">
        <v>90095</v>
      </c>
      <c r="C497" s="229"/>
      <c r="D497" s="205" t="s">
        <v>17</v>
      </c>
      <c r="E497" s="313">
        <f>SUM(E498:E508)</f>
        <v>119209</v>
      </c>
      <c r="F497" s="313">
        <f>SUM(F498:F508)</f>
        <v>79025.510000000009</v>
      </c>
      <c r="G497" s="313">
        <f>SUM(G498:G508)</f>
        <v>23000</v>
      </c>
      <c r="H497" s="313"/>
      <c r="I497" s="241">
        <f t="shared" si="18"/>
        <v>0.29104525867659692</v>
      </c>
    </row>
    <row r="498" spans="1:14" s="243" customFormat="1">
      <c r="A498" s="270"/>
      <c r="B498" s="220"/>
      <c r="C498" s="217" t="s">
        <v>195</v>
      </c>
      <c r="D498" s="218" t="s">
        <v>196</v>
      </c>
      <c r="E498" s="311">
        <v>150</v>
      </c>
      <c r="F498" s="311">
        <v>132.63</v>
      </c>
      <c r="G498" s="311"/>
      <c r="H498" s="311"/>
      <c r="I498" s="211">
        <f t="shared" si="18"/>
        <v>0</v>
      </c>
      <c r="M498" s="284">
        <f>F497-F508</f>
        <v>71025.510000000009</v>
      </c>
      <c r="N498" s="284"/>
    </row>
    <row r="499" spans="1:14" s="212" customFormat="1">
      <c r="A499" s="195"/>
      <c r="B499" s="197"/>
      <c r="C499" s="217" t="s">
        <v>197</v>
      </c>
      <c r="D499" s="218" t="s">
        <v>184</v>
      </c>
      <c r="E499" s="311">
        <v>5730</v>
      </c>
      <c r="F499" s="311">
        <v>154.93</v>
      </c>
      <c r="G499" s="311"/>
      <c r="H499" s="311"/>
      <c r="I499" s="211">
        <f t="shared" si="18"/>
        <v>0</v>
      </c>
      <c r="M499" s="213"/>
      <c r="N499" s="213"/>
    </row>
    <row r="500" spans="1:14" s="212" customFormat="1">
      <c r="A500" s="195"/>
      <c r="B500" s="197"/>
      <c r="C500" s="217" t="s">
        <v>198</v>
      </c>
      <c r="D500" s="218" t="s">
        <v>185</v>
      </c>
      <c r="E500" s="311">
        <v>2640</v>
      </c>
      <c r="F500" s="311">
        <v>2636.08</v>
      </c>
      <c r="G500" s="311"/>
      <c r="H500" s="311"/>
      <c r="I500" s="211">
        <f t="shared" si="18"/>
        <v>0</v>
      </c>
      <c r="M500" s="213">
        <f>F499+F500+F501+F502</f>
        <v>5807.8799999999992</v>
      </c>
      <c r="N500" s="213"/>
    </row>
    <row r="501" spans="1:14" s="212" customFormat="1">
      <c r="A501" s="195"/>
      <c r="B501" s="197"/>
      <c r="C501" s="217" t="s">
        <v>170</v>
      </c>
      <c r="D501" s="218" t="s">
        <v>45</v>
      </c>
      <c r="E501" s="311">
        <v>1265</v>
      </c>
      <c r="F501" s="311">
        <v>245.46</v>
      </c>
      <c r="G501" s="311"/>
      <c r="H501" s="311"/>
      <c r="I501" s="211">
        <f t="shared" si="18"/>
        <v>0</v>
      </c>
      <c r="M501" s="213"/>
      <c r="N501" s="213"/>
    </row>
    <row r="502" spans="1:14" s="212" customFormat="1">
      <c r="A502" s="195"/>
      <c r="B502" s="197"/>
      <c r="C502" s="217" t="s">
        <v>171</v>
      </c>
      <c r="D502" s="218" t="s">
        <v>163</v>
      </c>
      <c r="E502" s="311">
        <v>6840</v>
      </c>
      <c r="F502" s="311">
        <v>2771.41</v>
      </c>
      <c r="G502" s="311"/>
      <c r="H502" s="311"/>
      <c r="I502" s="211">
        <f t="shared" si="18"/>
        <v>0</v>
      </c>
      <c r="M502" s="213"/>
      <c r="N502" s="213"/>
    </row>
    <row r="503" spans="1:14" s="212" customFormat="1" ht="22.5">
      <c r="A503" s="195"/>
      <c r="B503" s="197"/>
      <c r="C503" s="301" t="s">
        <v>199</v>
      </c>
      <c r="D503" s="302" t="s">
        <v>200</v>
      </c>
      <c r="E503" s="311">
        <v>16371</v>
      </c>
      <c r="F503" s="311">
        <v>12000</v>
      </c>
      <c r="G503" s="311"/>
      <c r="H503" s="311"/>
      <c r="I503" s="211">
        <f t="shared" si="18"/>
        <v>0</v>
      </c>
      <c r="M503" s="213"/>
      <c r="N503" s="213"/>
    </row>
    <row r="504" spans="1:14" s="212" customFormat="1">
      <c r="A504" s="195"/>
      <c r="B504" s="197"/>
      <c r="C504" s="217" t="s">
        <v>173</v>
      </c>
      <c r="D504" s="218" t="s">
        <v>11</v>
      </c>
      <c r="E504" s="311">
        <v>19123</v>
      </c>
      <c r="F504" s="311">
        <v>12000</v>
      </c>
      <c r="G504" s="311"/>
      <c r="H504" s="311"/>
      <c r="I504" s="211">
        <f t="shared" si="18"/>
        <v>0</v>
      </c>
      <c r="M504" s="213"/>
      <c r="N504" s="213"/>
    </row>
    <row r="505" spans="1:14" s="212" customFormat="1">
      <c r="A505" s="195"/>
      <c r="B505" s="197"/>
      <c r="C505" s="217" t="s">
        <v>201</v>
      </c>
      <c r="D505" s="218" t="s">
        <v>37</v>
      </c>
      <c r="E505" s="311">
        <v>1085</v>
      </c>
      <c r="F505" s="311">
        <v>1085</v>
      </c>
      <c r="G505" s="311"/>
      <c r="H505" s="311"/>
      <c r="I505" s="211">
        <f t="shared" si="18"/>
        <v>0</v>
      </c>
      <c r="M505" s="213"/>
      <c r="N505" s="213"/>
    </row>
    <row r="506" spans="1:14" s="212" customFormat="1">
      <c r="A506" s="195"/>
      <c r="B506" s="197"/>
      <c r="C506" s="217" t="s">
        <v>174</v>
      </c>
      <c r="D506" s="218" t="s">
        <v>13</v>
      </c>
      <c r="E506" s="311">
        <v>57405</v>
      </c>
      <c r="F506" s="311">
        <v>40000</v>
      </c>
      <c r="G506" s="311">
        <v>15000</v>
      </c>
      <c r="H506" s="311"/>
      <c r="I506" s="211">
        <f t="shared" si="18"/>
        <v>0.375</v>
      </c>
      <c r="M506" s="213"/>
      <c r="N506" s="213"/>
    </row>
    <row r="507" spans="1:14" s="212" customFormat="1">
      <c r="A507" s="195"/>
      <c r="B507" s="197"/>
      <c r="C507" s="217" t="s">
        <v>175</v>
      </c>
      <c r="D507" s="218" t="s">
        <v>25</v>
      </c>
      <c r="E507" s="311">
        <v>600</v>
      </c>
      <c r="F507" s="311">
        <v>0</v>
      </c>
      <c r="G507" s="311"/>
      <c r="H507" s="311"/>
      <c r="I507" s="211"/>
      <c r="M507" s="213"/>
      <c r="N507" s="213"/>
    </row>
    <row r="508" spans="1:14" s="212" customFormat="1">
      <c r="A508" s="195"/>
      <c r="B508" s="197"/>
      <c r="C508" s="217" t="s">
        <v>176</v>
      </c>
      <c r="D508" s="218" t="s">
        <v>26</v>
      </c>
      <c r="E508" s="311">
        <v>8000</v>
      </c>
      <c r="F508" s="311">
        <f>E508</f>
        <v>8000</v>
      </c>
      <c r="G508" s="311">
        <v>8000</v>
      </c>
      <c r="H508" s="311"/>
      <c r="I508" s="211">
        <f t="shared" si="18"/>
        <v>1</v>
      </c>
      <c r="M508" s="213"/>
      <c r="N508" s="213"/>
    </row>
    <row r="509" spans="1:14" ht="12.75" customHeight="1">
      <c r="A509" s="227">
        <v>921</v>
      </c>
      <c r="B509" s="200"/>
      <c r="C509" s="228"/>
      <c r="D509" s="201" t="s">
        <v>279</v>
      </c>
      <c r="E509" s="330">
        <f>E512+E524+E526</f>
        <v>1994529.97</v>
      </c>
      <c r="F509" s="330">
        <f>F512+F524+F526</f>
        <v>1984329.97</v>
      </c>
      <c r="G509" s="330">
        <f>G512+G524+G526</f>
        <v>775040</v>
      </c>
      <c r="H509" s="330"/>
      <c r="I509" s="282">
        <f t="shared" si="18"/>
        <v>0.39058020173933067</v>
      </c>
    </row>
    <row r="510" spans="1:14" ht="18" hidden="1" customHeight="1">
      <c r="A510" s="203"/>
      <c r="B510" s="216">
        <v>92105</v>
      </c>
      <c r="C510" s="229"/>
      <c r="D510" s="205" t="s">
        <v>326</v>
      </c>
      <c r="E510" s="313">
        <f>E511</f>
        <v>0</v>
      </c>
      <c r="F510" s="313">
        <f>F511</f>
        <v>0</v>
      </c>
      <c r="G510" s="313">
        <f>G511</f>
        <v>0</v>
      </c>
      <c r="H510" s="313"/>
      <c r="I510" s="211" t="e">
        <f t="shared" si="18"/>
        <v>#DIV/0!</v>
      </c>
      <c r="J510" s="206" t="e">
        <f>G510/F510</f>
        <v>#DIV/0!</v>
      </c>
      <c r="K510" s="206" t="e">
        <f>I510/G510</f>
        <v>#DIV/0!</v>
      </c>
      <c r="M510" s="192">
        <f>F509-F521</f>
        <v>1826329.97</v>
      </c>
    </row>
    <row r="511" spans="1:14" ht="33.75" hidden="1">
      <c r="A511" s="231"/>
      <c r="B511" s="270"/>
      <c r="C511" s="217" t="s">
        <v>285</v>
      </c>
      <c r="D511" s="218" t="s">
        <v>286</v>
      </c>
      <c r="E511" s="311"/>
      <c r="F511" s="311"/>
      <c r="G511" s="331"/>
      <c r="H511" s="331"/>
      <c r="I511" s="211" t="e">
        <f t="shared" si="18"/>
        <v>#DIV/0!</v>
      </c>
    </row>
    <row r="512" spans="1:14" ht="14.25" customHeight="1">
      <c r="A512" s="203"/>
      <c r="B512" s="216">
        <v>92109</v>
      </c>
      <c r="C512" s="229"/>
      <c r="D512" s="205" t="s">
        <v>280</v>
      </c>
      <c r="E512" s="313">
        <f>SUM(E513:E523)</f>
        <v>1792239.97</v>
      </c>
      <c r="F512" s="313">
        <f>SUM(F513:F523)</f>
        <v>1782039.97</v>
      </c>
      <c r="G512" s="313">
        <f>SUM(G513:G523)</f>
        <v>608200</v>
      </c>
      <c r="H512" s="313">
        <f>SUM(H513:H523)</f>
        <v>146293.81</v>
      </c>
      <c r="I512" s="241">
        <f t="shared" si="18"/>
        <v>0.34129425278828063</v>
      </c>
    </row>
    <row r="513" spans="1:14" ht="24.75" customHeight="1">
      <c r="A513" s="270"/>
      <c r="B513" s="195"/>
      <c r="C513" s="217" t="s">
        <v>281</v>
      </c>
      <c r="D513" s="218" t="s">
        <v>282</v>
      </c>
      <c r="E513" s="311">
        <v>398800</v>
      </c>
      <c r="F513" s="311">
        <f t="shared" ref="F513:F520" si="19">E513</f>
        <v>398800</v>
      </c>
      <c r="G513" s="311">
        <v>390000</v>
      </c>
      <c r="H513" s="311"/>
      <c r="I513" s="211">
        <f t="shared" si="18"/>
        <v>0.9779338014042126</v>
      </c>
      <c r="M513" s="192">
        <f>F515+F517+F518</f>
        <v>267448.82</v>
      </c>
    </row>
    <row r="514" spans="1:14" ht="18.75" customHeight="1">
      <c r="A514" s="270"/>
      <c r="B514" s="195"/>
      <c r="C514" s="217" t="s">
        <v>172</v>
      </c>
      <c r="D514" s="218" t="s">
        <v>164</v>
      </c>
      <c r="E514" s="311">
        <v>1125</v>
      </c>
      <c r="F514" s="311">
        <f t="shared" si="19"/>
        <v>1125</v>
      </c>
      <c r="G514" s="311"/>
      <c r="H514" s="358"/>
      <c r="I514" s="211">
        <f t="shared" si="18"/>
        <v>0</v>
      </c>
    </row>
    <row r="515" spans="1:14">
      <c r="A515" s="195"/>
      <c r="B515" s="195"/>
      <c r="C515" s="217" t="s">
        <v>173</v>
      </c>
      <c r="D515" s="218" t="s">
        <v>11</v>
      </c>
      <c r="E515" s="311">
        <v>38171.599999999999</v>
      </c>
      <c r="F515" s="311">
        <f t="shared" si="19"/>
        <v>38171.599999999999</v>
      </c>
      <c r="G515" s="311">
        <v>58500</v>
      </c>
      <c r="H515" s="358">
        <v>53624.75</v>
      </c>
      <c r="I515" s="211">
        <f t="shared" si="18"/>
        <v>1.5325529975164782</v>
      </c>
    </row>
    <row r="516" spans="1:14">
      <c r="A516" s="195"/>
      <c r="B516" s="195"/>
      <c r="C516" s="301" t="s">
        <v>181</v>
      </c>
      <c r="D516" s="302" t="s">
        <v>24</v>
      </c>
      <c r="E516" s="311">
        <v>30300</v>
      </c>
      <c r="F516" s="311">
        <f t="shared" si="19"/>
        <v>30300</v>
      </c>
      <c r="G516" s="311">
        <v>31000</v>
      </c>
      <c r="H516" s="358"/>
      <c r="I516" s="211">
        <f t="shared" si="18"/>
        <v>1.023102310231023</v>
      </c>
      <c r="M516" s="192">
        <f>F509-F522-F523</f>
        <v>1065018.8199999998</v>
      </c>
    </row>
    <row r="517" spans="1:14">
      <c r="A517" s="195"/>
      <c r="B517" s="195"/>
      <c r="C517" s="217" t="s">
        <v>179</v>
      </c>
      <c r="D517" s="218" t="s">
        <v>21</v>
      </c>
      <c r="E517" s="311">
        <v>141567.23000000001</v>
      </c>
      <c r="F517" s="311">
        <f t="shared" si="19"/>
        <v>141567.23000000001</v>
      </c>
      <c r="G517" s="311">
        <v>89200</v>
      </c>
      <c r="H517" s="358">
        <v>89169.06</v>
      </c>
      <c r="I517" s="211">
        <f t="shared" si="18"/>
        <v>0.63008932222520697</v>
      </c>
    </row>
    <row r="518" spans="1:14">
      <c r="A518" s="195"/>
      <c r="B518" s="195"/>
      <c r="C518" s="217" t="s">
        <v>174</v>
      </c>
      <c r="D518" s="218" t="s">
        <v>13</v>
      </c>
      <c r="E518" s="311">
        <v>87709.99</v>
      </c>
      <c r="F518" s="311">
        <f t="shared" si="19"/>
        <v>87709.99</v>
      </c>
      <c r="G518" s="311">
        <v>3500</v>
      </c>
      <c r="H518" s="358">
        <v>3500</v>
      </c>
      <c r="I518" s="211">
        <f t="shared" si="18"/>
        <v>3.9904234397928902E-2</v>
      </c>
      <c r="M518" s="192">
        <f>F515+F516+F517+F518</f>
        <v>297748.82</v>
      </c>
    </row>
    <row r="519" spans="1:14">
      <c r="A519" s="195"/>
      <c r="B519" s="195"/>
      <c r="C519" s="217" t="s">
        <v>176</v>
      </c>
      <c r="D519" s="218" t="s">
        <v>26</v>
      </c>
      <c r="E519" s="311">
        <v>6000</v>
      </c>
      <c r="F519" s="311">
        <f t="shared" si="19"/>
        <v>6000</v>
      </c>
      <c r="G519" s="311">
        <v>6000</v>
      </c>
      <c r="H519" s="311"/>
      <c r="I519" s="211">
        <f t="shared" si="18"/>
        <v>1</v>
      </c>
    </row>
    <row r="520" spans="1:14">
      <c r="A520" s="195"/>
      <c r="B520" s="195"/>
      <c r="C520" s="301" t="s">
        <v>305</v>
      </c>
      <c r="D520" s="302" t="s">
        <v>419</v>
      </c>
      <c r="E520" s="311">
        <v>1055</v>
      </c>
      <c r="F520" s="311">
        <f t="shared" si="19"/>
        <v>1055</v>
      </c>
      <c r="G520" s="311"/>
      <c r="H520" s="311"/>
      <c r="I520" s="211">
        <f t="shared" si="18"/>
        <v>0</v>
      </c>
    </row>
    <row r="521" spans="1:14" ht="20.25" customHeight="1">
      <c r="A521" s="195"/>
      <c r="B521" s="195"/>
      <c r="C521" s="217" t="s">
        <v>180</v>
      </c>
      <c r="D521" s="218" t="s">
        <v>160</v>
      </c>
      <c r="E521" s="311">
        <v>168200</v>
      </c>
      <c r="F521" s="311">
        <v>158000</v>
      </c>
      <c r="G521" s="311">
        <v>30000</v>
      </c>
      <c r="H521" s="311"/>
      <c r="I521" s="211">
        <f t="shared" si="18"/>
        <v>0.189873417721519</v>
      </c>
      <c r="J521" s="190" t="e">
        <f>E521+#REF!+#REF!</f>
        <v>#REF!</v>
      </c>
      <c r="K521" s="190" t="e">
        <f>F521+#REF!+#REF!</f>
        <v>#REF!</v>
      </c>
    </row>
    <row r="522" spans="1:14" ht="16.5" customHeight="1">
      <c r="A522" s="195"/>
      <c r="B522" s="195"/>
      <c r="C522" s="217" t="s">
        <v>315</v>
      </c>
      <c r="D522" s="218" t="s">
        <v>160</v>
      </c>
      <c r="E522" s="311">
        <v>559986.06999999995</v>
      </c>
      <c r="F522" s="311">
        <f>E522</f>
        <v>559986.06999999995</v>
      </c>
      <c r="G522" s="311"/>
      <c r="H522" s="311"/>
      <c r="I522" s="211">
        <f t="shared" si="18"/>
        <v>0</v>
      </c>
      <c r="J522" s="190"/>
      <c r="K522" s="190"/>
    </row>
    <row r="523" spans="1:14" ht="19.5" customHeight="1">
      <c r="A523" s="195"/>
      <c r="B523" s="195"/>
      <c r="C523" s="217" t="s">
        <v>314</v>
      </c>
      <c r="D523" s="218" t="s">
        <v>160</v>
      </c>
      <c r="E523" s="311">
        <v>359325.08</v>
      </c>
      <c r="F523" s="311">
        <f>E523</f>
        <v>359325.08</v>
      </c>
      <c r="G523" s="311"/>
      <c r="H523" s="311"/>
      <c r="I523" s="211">
        <f t="shared" si="18"/>
        <v>0</v>
      </c>
      <c r="J523" s="190"/>
      <c r="K523" s="190"/>
    </row>
    <row r="524" spans="1:14">
      <c r="A524" s="204"/>
      <c r="B524" s="204">
        <v>92116</v>
      </c>
      <c r="C524" s="229"/>
      <c r="D524" s="205" t="s">
        <v>61</v>
      </c>
      <c r="E524" s="320">
        <f>E525</f>
        <v>198840</v>
      </c>
      <c r="F524" s="320">
        <f>F525</f>
        <v>198840</v>
      </c>
      <c r="G524" s="320">
        <f>G525</f>
        <v>166840</v>
      </c>
      <c r="H524" s="320"/>
      <c r="I524" s="241">
        <f t="shared" si="18"/>
        <v>0.83906658619995977</v>
      </c>
    </row>
    <row r="525" spans="1:14" ht="22.5">
      <c r="A525" s="231"/>
      <c r="B525" s="195"/>
      <c r="C525" s="217" t="s">
        <v>281</v>
      </c>
      <c r="D525" s="218" t="s">
        <v>282</v>
      </c>
      <c r="E525" s="311">
        <v>198840</v>
      </c>
      <c r="F525" s="311">
        <f>E525</f>
        <v>198840</v>
      </c>
      <c r="G525" s="311">
        <v>166840</v>
      </c>
      <c r="H525" s="311"/>
      <c r="I525" s="211">
        <f t="shared" si="18"/>
        <v>0.83906658619995977</v>
      </c>
    </row>
    <row r="526" spans="1:14" s="193" customFormat="1">
      <c r="A526" s="204"/>
      <c r="B526" s="204">
        <v>92195</v>
      </c>
      <c r="C526" s="229"/>
      <c r="D526" s="205" t="s">
        <v>17</v>
      </c>
      <c r="E526" s="327">
        <f>SUM(E527:E527)</f>
        <v>3450</v>
      </c>
      <c r="F526" s="327">
        <f>SUM(F527:F527)</f>
        <v>3450</v>
      </c>
      <c r="G526" s="327">
        <f>SUM(G527:G527)</f>
        <v>0</v>
      </c>
      <c r="H526" s="327"/>
      <c r="I526" s="241">
        <f t="shared" si="18"/>
        <v>0</v>
      </c>
      <c r="M526" s="207"/>
      <c r="N526" s="207"/>
    </row>
    <row r="527" spans="1:14">
      <c r="A527" s="231"/>
      <c r="B527" s="195"/>
      <c r="C527" s="217" t="s">
        <v>173</v>
      </c>
      <c r="D527" s="218" t="s">
        <v>11</v>
      </c>
      <c r="E527" s="311">
        <v>3450</v>
      </c>
      <c r="F527" s="311">
        <f>E527</f>
        <v>3450</v>
      </c>
      <c r="G527" s="311">
        <v>0</v>
      </c>
      <c r="H527" s="311"/>
      <c r="I527" s="211">
        <f t="shared" si="18"/>
        <v>0</v>
      </c>
    </row>
    <row r="528" spans="1:14">
      <c r="A528" s="200">
        <v>926</v>
      </c>
      <c r="B528" s="200"/>
      <c r="C528" s="228"/>
      <c r="D528" s="201" t="s">
        <v>283</v>
      </c>
      <c r="E528" s="312">
        <f>E531+E535</f>
        <v>914956.17999999993</v>
      </c>
      <c r="F528" s="312">
        <f>F531+F535</f>
        <v>914956.17999999993</v>
      </c>
      <c r="G528" s="312">
        <f>G531+G535</f>
        <v>2464700</v>
      </c>
      <c r="H528" s="312"/>
      <c r="I528" s="282">
        <f t="shared" si="18"/>
        <v>2.693790209712557</v>
      </c>
    </row>
    <row r="529" spans="1:14" hidden="1">
      <c r="A529" s="216">
        <v>926</v>
      </c>
      <c r="B529" s="204">
        <v>92601</v>
      </c>
      <c r="C529" s="229"/>
      <c r="D529" s="205" t="s">
        <v>131</v>
      </c>
      <c r="E529" s="313">
        <f>SUM(E530:E530)</f>
        <v>0</v>
      </c>
      <c r="F529" s="313">
        <f>SUM(F530:F530)</f>
        <v>0</v>
      </c>
      <c r="G529" s="313">
        <f>SUM(G530:G530)</f>
        <v>0</v>
      </c>
      <c r="H529" s="313"/>
      <c r="I529" s="211" t="e">
        <f t="shared" si="18"/>
        <v>#DIV/0!</v>
      </c>
    </row>
    <row r="530" spans="1:14" hidden="1">
      <c r="A530" s="220"/>
      <c r="B530" s="195"/>
      <c r="C530" s="217" t="s">
        <v>174</v>
      </c>
      <c r="D530" s="218" t="s">
        <v>13</v>
      </c>
      <c r="E530" s="311"/>
      <c r="F530" s="311"/>
      <c r="G530" s="311"/>
      <c r="H530" s="311"/>
      <c r="I530" s="211" t="e">
        <f t="shared" si="18"/>
        <v>#DIV/0!</v>
      </c>
    </row>
    <row r="531" spans="1:14" ht="21.75" customHeight="1">
      <c r="A531" s="203"/>
      <c r="B531" s="216">
        <v>92605</v>
      </c>
      <c r="C531" s="229"/>
      <c r="D531" s="205" t="s">
        <v>284</v>
      </c>
      <c r="E531" s="313">
        <f>SUM(E532:E534)</f>
        <v>80200</v>
      </c>
      <c r="F531" s="313">
        <f>SUM(F532:F534)</f>
        <v>80200</v>
      </c>
      <c r="G531" s="313">
        <f>SUM(G532:G534)</f>
        <v>3500</v>
      </c>
      <c r="H531" s="313"/>
      <c r="I531" s="241">
        <f t="shared" si="18"/>
        <v>4.3640897755610975E-2</v>
      </c>
    </row>
    <row r="532" spans="1:14" ht="33.75">
      <c r="A532" s="230"/>
      <c r="B532" s="195"/>
      <c r="C532" s="217" t="s">
        <v>285</v>
      </c>
      <c r="D532" s="218" t="s">
        <v>286</v>
      </c>
      <c r="E532" s="311">
        <v>65000</v>
      </c>
      <c r="F532" s="311">
        <f>E532</f>
        <v>65000</v>
      </c>
      <c r="G532" s="311">
        <v>0</v>
      </c>
      <c r="H532" s="311"/>
      <c r="I532" s="211">
        <f t="shared" si="18"/>
        <v>0</v>
      </c>
    </row>
    <row r="533" spans="1:14">
      <c r="A533" s="195"/>
      <c r="B533" s="195"/>
      <c r="C533" s="217" t="s">
        <v>173</v>
      </c>
      <c r="D533" s="218" t="s">
        <v>11</v>
      </c>
      <c r="E533" s="311">
        <v>8000</v>
      </c>
      <c r="F533" s="311">
        <f>E533</f>
        <v>8000</v>
      </c>
      <c r="G533" s="311">
        <v>2000</v>
      </c>
      <c r="H533" s="311"/>
      <c r="I533" s="211">
        <f t="shared" si="18"/>
        <v>0.25</v>
      </c>
      <c r="M533" s="192" t="e">
        <f>F533+F534+#REF!+F537+F539</f>
        <v>#REF!</v>
      </c>
    </row>
    <row r="534" spans="1:14">
      <c r="A534" s="195"/>
      <c r="B534" s="195"/>
      <c r="C534" s="217" t="s">
        <v>174</v>
      </c>
      <c r="D534" s="218" t="s">
        <v>13</v>
      </c>
      <c r="E534" s="311">
        <v>7200</v>
      </c>
      <c r="F534" s="311">
        <f>E534</f>
        <v>7200</v>
      </c>
      <c r="G534" s="311">
        <v>1500</v>
      </c>
      <c r="H534" s="311"/>
      <c r="I534" s="211">
        <f t="shared" si="18"/>
        <v>0.20833333333333334</v>
      </c>
    </row>
    <row r="535" spans="1:14">
      <c r="A535" s="204"/>
      <c r="B535" s="204">
        <v>92695</v>
      </c>
      <c r="C535" s="229"/>
      <c r="D535" s="205" t="s">
        <v>17</v>
      </c>
      <c r="E535" s="327">
        <f>SUM(E536:E540)</f>
        <v>834756.17999999993</v>
      </c>
      <c r="F535" s="327">
        <f>SUM(F536:F540)</f>
        <v>834756.17999999993</v>
      </c>
      <c r="G535" s="327">
        <f>SUM(G536:G540)</f>
        <v>2461200</v>
      </c>
      <c r="H535" s="327">
        <f>SUM(H536:H540)</f>
        <v>89904.98000000001</v>
      </c>
      <c r="I535" s="241">
        <f t="shared" si="18"/>
        <v>2.9484058446862895</v>
      </c>
    </row>
    <row r="536" spans="1:14" s="243" customFormat="1">
      <c r="A536" s="231"/>
      <c r="B536" s="231"/>
      <c r="C536" s="301" t="s">
        <v>172</v>
      </c>
      <c r="D536" s="302" t="s">
        <v>164</v>
      </c>
      <c r="E536" s="311">
        <v>7692.14</v>
      </c>
      <c r="F536" s="311">
        <f>E536</f>
        <v>7692.14</v>
      </c>
      <c r="G536" s="311">
        <v>5600</v>
      </c>
      <c r="H536" s="358">
        <v>4000</v>
      </c>
      <c r="I536" s="211">
        <f t="shared" si="18"/>
        <v>0.72801587074598229</v>
      </c>
      <c r="M536" s="284">
        <f>F528-F532</f>
        <v>849956.17999999993</v>
      </c>
      <c r="N536" s="284"/>
    </row>
    <row r="537" spans="1:14">
      <c r="A537" s="195"/>
      <c r="B537" s="231"/>
      <c r="C537" s="217" t="s">
        <v>173</v>
      </c>
      <c r="D537" s="218" t="s">
        <v>11</v>
      </c>
      <c r="E537" s="311">
        <v>98344.51</v>
      </c>
      <c r="F537" s="311">
        <f>E537</f>
        <v>98344.51</v>
      </c>
      <c r="G537" s="311">
        <v>66400</v>
      </c>
      <c r="H537" s="358">
        <v>62453.79</v>
      </c>
      <c r="I537" s="211">
        <f>G537/F537</f>
        <v>0.67517749592732734</v>
      </c>
    </row>
    <row r="538" spans="1:14">
      <c r="A538" s="195"/>
      <c r="B538" s="231"/>
      <c r="C538" s="217" t="s">
        <v>179</v>
      </c>
      <c r="D538" s="218" t="s">
        <v>21</v>
      </c>
      <c r="E538" s="311"/>
      <c r="F538" s="311"/>
      <c r="G538" s="311">
        <v>9800</v>
      </c>
      <c r="H538" s="358">
        <v>5800</v>
      </c>
      <c r="I538" s="211"/>
    </row>
    <row r="539" spans="1:14">
      <c r="A539" s="231"/>
      <c r="B539" s="195"/>
      <c r="C539" s="217" t="s">
        <v>174</v>
      </c>
      <c r="D539" s="218" t="s">
        <v>13</v>
      </c>
      <c r="E539" s="311">
        <v>22719.53</v>
      </c>
      <c r="F539" s="311">
        <f>E539</f>
        <v>22719.53</v>
      </c>
      <c r="G539" s="311">
        <v>17700</v>
      </c>
      <c r="H539" s="358">
        <v>17651.189999999999</v>
      </c>
      <c r="I539" s="211">
        <f>G539/F539</f>
        <v>0.77906541200456181</v>
      </c>
    </row>
    <row r="540" spans="1:14" ht="19.5" customHeight="1">
      <c r="A540" s="231"/>
      <c r="B540" s="195"/>
      <c r="C540" s="217" t="s">
        <v>180</v>
      </c>
      <c r="D540" s="218" t="s">
        <v>160</v>
      </c>
      <c r="E540" s="311">
        <v>706000</v>
      </c>
      <c r="F540" s="311">
        <f>E540</f>
        <v>706000</v>
      </c>
      <c r="G540" s="311">
        <v>2361700</v>
      </c>
      <c r="H540" s="311"/>
      <c r="I540" s="211">
        <f>G540/F540</f>
        <v>3.3451841359773371</v>
      </c>
      <c r="L540" s="192">
        <f>L541-G541</f>
        <v>-9546</v>
      </c>
    </row>
    <row r="541" spans="1:14" ht="21" customHeight="1">
      <c r="A541" s="231"/>
      <c r="B541" s="195"/>
      <c r="C541" s="195"/>
      <c r="D541" s="286" t="s">
        <v>62</v>
      </c>
      <c r="E541" s="332">
        <f>E11+E31+E35+E49+E66+E75+E137+E158+E186+E198+E204+E207+E324+E351+E450+E473+E509+E528</f>
        <v>27984033.43</v>
      </c>
      <c r="F541" s="332">
        <f>F11+F31+F35+F49+F66+F75+F137+F152+F158+F186+F198+F204+F207+F324+F351+F450+F473+F509+F528+F447+F46+F155</f>
        <v>26380968.999999996</v>
      </c>
      <c r="G541" s="332">
        <f>G528+G509+G473+G450+G351+G324+G207+G204+G198+G186+G158+G155+G137+G75+G66+G49+G35+G11+G31</f>
        <v>21153033</v>
      </c>
      <c r="H541" s="332">
        <f>H528+H509+H473+H450+H351+H324+H207+H204+H198+H186+H158+H155+H137+H75+H66+H49+H35+H11+H31</f>
        <v>0</v>
      </c>
      <c r="I541" s="211">
        <f>G541/F541</f>
        <v>0.80182926563463242</v>
      </c>
      <c r="K541" s="244"/>
      <c r="L541" s="189">
        <v>21143487</v>
      </c>
      <c r="M541" s="192">
        <f>E541-F541</f>
        <v>1603064.4300000034</v>
      </c>
    </row>
    <row r="542" spans="1:14" ht="28.5" hidden="1" customHeight="1">
      <c r="A542" s="195"/>
    </row>
    <row r="543" spans="1:14" ht="28.5" hidden="1" customHeight="1">
      <c r="A543" s="195"/>
    </row>
    <row r="544" spans="1:14" ht="11.25" hidden="1" customHeight="1"/>
    <row r="545" spans="3:16" ht="11.25" hidden="1" customHeight="1">
      <c r="E545" s="192">
        <f>E12+E17+E19+E21+E32+E36+E38+E41+E52+E67+E71+E73+E76+E86+E94+E117+E125+E130+E138+E142+E159+E162+E177+E180+E187+E199+E202+E205+E208+E232+E243+E264+E287+E302+E305+E319+E325+E329+E334+E349+E352+E356+E373+E375+E378+E380+E383+E424+E438+E440+E451+E466+E468+E474+E480+E483+E486+E490+E492+E497+E512+E524+E526+E531+E535</f>
        <v>27984033.429999996</v>
      </c>
      <c r="G545" s="192">
        <v>19146000</v>
      </c>
      <c r="H545" s="192">
        <f>G545-G541</f>
        <v>-2007033</v>
      </c>
    </row>
    <row r="546" spans="3:16" ht="11.25" hidden="1" customHeight="1">
      <c r="G546" s="192">
        <f>G541-G545</f>
        <v>2007033</v>
      </c>
      <c r="H546" s="192">
        <v>2391700</v>
      </c>
      <c r="L546" s="192">
        <f>H545+H546</f>
        <v>384667</v>
      </c>
    </row>
    <row r="547" spans="3:16" ht="57.75" hidden="1" customHeight="1">
      <c r="F547" s="192">
        <v>22175353.5</v>
      </c>
      <c r="G547" s="192">
        <f>F541-F547</f>
        <v>4205615.4999999963</v>
      </c>
    </row>
    <row r="548" spans="3:16" hidden="1">
      <c r="L548" s="191">
        <v>1E-3</v>
      </c>
      <c r="M548" s="207">
        <f>G541*L548</f>
        <v>21153.032999999999</v>
      </c>
      <c r="N548" s="192" t="s">
        <v>481</v>
      </c>
    </row>
    <row r="549" spans="3:16" hidden="1">
      <c r="C549" s="752" t="s">
        <v>89</v>
      </c>
      <c r="D549" s="754" t="s">
        <v>86</v>
      </c>
      <c r="E549" s="746" t="s">
        <v>87</v>
      </c>
      <c r="F549" s="746" t="s">
        <v>88</v>
      </c>
      <c r="G549" s="744" t="s">
        <v>104</v>
      </c>
      <c r="H549" s="366"/>
    </row>
    <row r="550" spans="3:16" ht="21.75" hidden="1" customHeight="1">
      <c r="C550" s="752"/>
      <c r="D550" s="754"/>
      <c r="E550" s="746"/>
      <c r="F550" s="746"/>
      <c r="G550" s="744"/>
      <c r="H550" s="366"/>
    </row>
    <row r="551" spans="3:16" hidden="1">
      <c r="C551" s="287" t="s">
        <v>4</v>
      </c>
      <c r="D551" s="288" t="s">
        <v>5</v>
      </c>
      <c r="E551" s="363" t="s">
        <v>6</v>
      </c>
      <c r="F551" s="367" t="s">
        <v>7</v>
      </c>
      <c r="G551" s="365" t="s">
        <v>8</v>
      </c>
      <c r="H551" s="368"/>
    </row>
    <row r="552" spans="3:16" ht="15" hidden="1" customHeight="1">
      <c r="C552" s="238" t="s">
        <v>4</v>
      </c>
      <c r="D552" s="204" t="s">
        <v>90</v>
      </c>
      <c r="E552" s="327">
        <f>E554</f>
        <v>6635561</v>
      </c>
      <c r="F552" s="327">
        <f>F554</f>
        <v>1922767.78</v>
      </c>
      <c r="G552" s="369">
        <f>F552/E552</f>
        <v>0.28976717718366241</v>
      </c>
      <c r="H552" s="370"/>
    </row>
    <row r="553" spans="3:16" ht="14.25" hidden="1" customHeight="1">
      <c r="C553" s="289"/>
      <c r="D553" s="209" t="s">
        <v>91</v>
      </c>
      <c r="E553" s="357"/>
      <c r="F553" s="357"/>
      <c r="G553" s="371"/>
      <c r="H553" s="372"/>
      <c r="M553" s="192">
        <f>G78+G96+G97+G98+G99+G101+G133+G165+G166+G167+G210+G211+G212+G213+G234+G235+G236+G237+G249+G247+G252+G266+G267+G268+G269+G271+G289+G290+G291+G292+G293+G307+G308+G309+G310+G311+G335+G336+G337+G338+G339+G359+G360+G361+G362+G387+G390+G393+G396+G401+G428+G429+G430+G431+G453+G454+G455+G456+G500+G501+G502</f>
        <v>8706240</v>
      </c>
    </row>
    <row r="554" spans="3:16" ht="17.25" hidden="1" customHeight="1">
      <c r="C554" s="289" t="s">
        <v>93</v>
      </c>
      <c r="D554" s="290" t="s">
        <v>355</v>
      </c>
      <c r="E554" s="373">
        <v>6635561</v>
      </c>
      <c r="F554" s="373">
        <v>1922767.78</v>
      </c>
      <c r="G554" s="374">
        <f>F554/E554</f>
        <v>0.28976717718366241</v>
      </c>
      <c r="H554" s="375"/>
      <c r="L554" s="189" t="s">
        <v>359</v>
      </c>
    </row>
    <row r="555" spans="3:16" ht="35.25" hidden="1" customHeight="1">
      <c r="C555" s="289" t="s">
        <v>151</v>
      </c>
      <c r="D555" s="292" t="s">
        <v>422</v>
      </c>
      <c r="E555" s="376">
        <v>200000</v>
      </c>
      <c r="F555" s="376">
        <f>F40</f>
        <v>200000</v>
      </c>
      <c r="G555" s="376">
        <f>G40</f>
        <v>0</v>
      </c>
      <c r="H555" s="372"/>
    </row>
    <row r="556" spans="3:16" ht="33" hidden="1" customHeight="1">
      <c r="C556" s="289" t="s">
        <v>152</v>
      </c>
      <c r="D556" s="292" t="s">
        <v>139</v>
      </c>
      <c r="E556" s="376">
        <f>E479</f>
        <v>35000</v>
      </c>
      <c r="F556" s="376">
        <f>F479</f>
        <v>35000</v>
      </c>
      <c r="G556" s="376">
        <f>G479</f>
        <v>0</v>
      </c>
      <c r="H556" s="372"/>
    </row>
    <row r="557" spans="3:16" ht="22.5" hidden="1" customHeight="1">
      <c r="C557" s="289" t="s">
        <v>156</v>
      </c>
      <c r="D557" s="292" t="s">
        <v>421</v>
      </c>
      <c r="E557" s="357">
        <v>20000</v>
      </c>
      <c r="F557" s="376">
        <v>20000</v>
      </c>
      <c r="G557" s="376">
        <v>0</v>
      </c>
      <c r="H557" s="372"/>
      <c r="M557" s="192" t="s">
        <v>360</v>
      </c>
      <c r="N557" s="192" t="s">
        <v>361</v>
      </c>
    </row>
    <row r="558" spans="3:16" ht="28.5" hidden="1" customHeight="1">
      <c r="C558" s="289"/>
      <c r="D558" s="291"/>
      <c r="E558" s="376"/>
      <c r="F558" s="376"/>
      <c r="G558" s="371" t="e">
        <f>F558/E558</f>
        <v>#DIV/0!</v>
      </c>
      <c r="H558" s="372"/>
    </row>
    <row r="559" spans="3:16" hidden="1">
      <c r="C559" s="745"/>
      <c r="D559" s="745"/>
      <c r="E559" s="745"/>
      <c r="F559" s="745"/>
      <c r="G559" s="371"/>
      <c r="H559" s="372"/>
    </row>
    <row r="560" spans="3:16" ht="16.5" hidden="1" customHeight="1">
      <c r="C560" s="204" t="s">
        <v>5</v>
      </c>
      <c r="D560" s="293" t="s">
        <v>365</v>
      </c>
      <c r="E560" s="327">
        <f>E541-E552</f>
        <v>21348472.43</v>
      </c>
      <c r="F560" s="327">
        <f>F541-F552</f>
        <v>24458201.219999995</v>
      </c>
      <c r="G560" s="369">
        <f>F560/E560</f>
        <v>1.1456651664514432</v>
      </c>
      <c r="H560" s="370"/>
      <c r="J560" s="190"/>
      <c r="N560" s="189"/>
      <c r="O560" s="192"/>
      <c r="P560" s="192"/>
    </row>
    <row r="561" spans="3:16" hidden="1">
      <c r="C561" s="289"/>
      <c r="D561" s="289" t="s">
        <v>95</v>
      </c>
      <c r="E561" s="357"/>
      <c r="F561" s="357"/>
      <c r="G561" s="371"/>
      <c r="H561" s="372"/>
      <c r="N561" s="189"/>
      <c r="O561" s="192"/>
      <c r="P561" s="192"/>
    </row>
    <row r="562" spans="3:16" ht="17.25" hidden="1" customHeight="1">
      <c r="C562" s="289" t="s">
        <v>96</v>
      </c>
      <c r="D562" s="289" t="s">
        <v>483</v>
      </c>
      <c r="E562" s="377">
        <f>G77+G96+G139+G210+G234+G245+G266+G289+G307+G335+G359+G387+G427+G453+G188</f>
        <v>6848852.8300000001</v>
      </c>
      <c r="F562" s="377"/>
      <c r="G562" s="371"/>
      <c r="H562" s="372"/>
      <c r="N562" s="189"/>
      <c r="O562" s="192"/>
      <c r="P562" s="192"/>
    </row>
    <row r="563" spans="3:16" ht="38.25" hidden="1" customHeight="1">
      <c r="C563" s="289" t="s">
        <v>423</v>
      </c>
      <c r="D563" s="291" t="s">
        <v>427</v>
      </c>
      <c r="E563" s="377">
        <f>G246+G248+G250+G251+G253+G254</f>
        <v>122081</v>
      </c>
      <c r="F563" s="377"/>
      <c r="G563" s="371"/>
      <c r="H563" s="372"/>
      <c r="N563" s="189"/>
      <c r="O563" s="192"/>
      <c r="P563" s="192"/>
    </row>
    <row r="564" spans="3:16" ht="17.25" hidden="1" customHeight="1">
      <c r="C564" s="270" t="s">
        <v>425</v>
      </c>
      <c r="D564" s="289" t="s">
        <v>424</v>
      </c>
      <c r="E564" s="377">
        <f>G78+G97+G211+G235+G247+G267+G290+G308+G336+G360+G390+G428+G454</f>
        <v>532599</v>
      </c>
      <c r="F564" s="377"/>
      <c r="G564" s="371"/>
      <c r="H564" s="372"/>
      <c r="N564" s="189"/>
      <c r="O564" s="192"/>
      <c r="P564" s="192"/>
    </row>
    <row r="565" spans="3:16" ht="19.5" hidden="1" customHeight="1">
      <c r="C565" s="270" t="s">
        <v>428</v>
      </c>
      <c r="D565" s="270" t="s">
        <v>107</v>
      </c>
      <c r="E565" s="377">
        <f>G79+G80+G98+G99+G165+G166+G212+G213+G236+G237+G249+G252+G268+G269+G291+G292+G309+G310+G337+G338+G361+G362+G393+G396+G429+G430+G455+G456+G140+G141+G374</f>
        <v>1389842.1700000002</v>
      </c>
      <c r="F565" s="377"/>
      <c r="G565" s="371"/>
      <c r="H565" s="372"/>
      <c r="N565" s="189"/>
      <c r="O565" s="192"/>
      <c r="P565" s="192"/>
    </row>
    <row r="566" spans="3:16" ht="19.5" hidden="1" customHeight="1">
      <c r="C566" s="270"/>
      <c r="D566" s="270" t="s">
        <v>482</v>
      </c>
      <c r="E566" s="377">
        <f>G101+G167+G215+G271+G293+G311+G339+G401+G431+G443+G536+G68</f>
        <v>195715</v>
      </c>
      <c r="F566" s="377"/>
      <c r="G566" s="371"/>
      <c r="H566" s="372"/>
      <c r="N566" s="189"/>
      <c r="O566" s="192"/>
      <c r="P566" s="192"/>
    </row>
    <row r="567" spans="3:16" ht="41.25" hidden="1" customHeight="1">
      <c r="C567" s="289" t="s">
        <v>98</v>
      </c>
      <c r="D567" s="276" t="s">
        <v>132</v>
      </c>
      <c r="E567" s="377"/>
      <c r="F567" s="377"/>
      <c r="G567" s="371"/>
      <c r="H567" s="372"/>
      <c r="L567" s="192">
        <f>E562+E564+E565+E566</f>
        <v>8967009</v>
      </c>
      <c r="N567" s="189"/>
      <c r="O567" s="192"/>
      <c r="P567" s="192"/>
    </row>
    <row r="568" spans="3:16" ht="21.75" hidden="1" customHeight="1">
      <c r="C568" s="289" t="s">
        <v>99</v>
      </c>
      <c r="D568" s="276" t="s">
        <v>430</v>
      </c>
      <c r="E568" s="377"/>
      <c r="F568" s="377"/>
      <c r="G568" s="371"/>
      <c r="H568" s="372"/>
      <c r="L568" s="189">
        <v>8966009</v>
      </c>
      <c r="N568" s="190"/>
      <c r="O568" s="192"/>
      <c r="P568" s="192"/>
    </row>
    <row r="569" spans="3:16" ht="30" hidden="1" customHeight="1">
      <c r="C569" s="289" t="s">
        <v>100</v>
      </c>
      <c r="D569" s="291" t="s">
        <v>431</v>
      </c>
      <c r="E569" s="357"/>
      <c r="F569" s="357"/>
      <c r="G569" s="371"/>
      <c r="H569" s="372"/>
      <c r="L569" s="192"/>
      <c r="N569" s="189"/>
      <c r="O569" s="207"/>
      <c r="P569" s="207"/>
    </row>
    <row r="570" spans="3:16" ht="21" hidden="1" customHeight="1">
      <c r="C570" s="289" t="s">
        <v>102</v>
      </c>
      <c r="D570" s="289" t="s">
        <v>101</v>
      </c>
      <c r="E570" s="376"/>
      <c r="F570" s="376"/>
      <c r="G570" s="371"/>
      <c r="H570" s="372"/>
      <c r="L570" s="190"/>
    </row>
    <row r="571" spans="3:16" ht="19.5" hidden="1" customHeight="1">
      <c r="C571" s="289" t="s">
        <v>108</v>
      </c>
      <c r="D571" s="289" t="s">
        <v>103</v>
      </c>
      <c r="E571" s="357"/>
      <c r="F571" s="357"/>
      <c r="G571" s="371"/>
      <c r="H571" s="372"/>
    </row>
    <row r="572" spans="3:16" ht="19.5" hidden="1" customHeight="1">
      <c r="C572" s="290" t="s">
        <v>6</v>
      </c>
      <c r="D572" s="290" t="s">
        <v>105</v>
      </c>
      <c r="E572" s="378">
        <f>E552+E560</f>
        <v>27984033.43</v>
      </c>
      <c r="F572" s="378">
        <f>F552+F560</f>
        <v>26380968.999999996</v>
      </c>
      <c r="G572" s="379"/>
      <c r="H572" s="380"/>
      <c r="L572" s="333" t="s">
        <v>426</v>
      </c>
      <c r="M572" s="207">
        <v>314239.35999999999</v>
      </c>
      <c r="N572" s="192">
        <v>152292</v>
      </c>
    </row>
    <row r="573" spans="3:16" ht="18.75" hidden="1" customHeight="1">
      <c r="M573" s="192">
        <v>32457.38</v>
      </c>
      <c r="N573" s="192">
        <v>15083.57</v>
      </c>
    </row>
    <row r="574" spans="3:16" hidden="1">
      <c r="E574" s="381"/>
      <c r="M574" s="192">
        <v>1373.99</v>
      </c>
      <c r="N574" s="192">
        <v>445.66</v>
      </c>
    </row>
    <row r="575" spans="3:16" hidden="1">
      <c r="C575" s="747" t="s">
        <v>89</v>
      </c>
      <c r="D575" s="736" t="s">
        <v>86</v>
      </c>
      <c r="E575" s="753" t="s">
        <v>87</v>
      </c>
      <c r="F575" s="753" t="s">
        <v>88</v>
      </c>
      <c r="G575" s="751"/>
      <c r="H575" s="382"/>
      <c r="M575" s="192">
        <v>68328</v>
      </c>
      <c r="N575" s="192">
        <v>26229</v>
      </c>
    </row>
    <row r="576" spans="3:16" ht="21" hidden="1" customHeight="1">
      <c r="C576" s="747"/>
      <c r="D576" s="736"/>
      <c r="E576" s="753"/>
      <c r="F576" s="753"/>
      <c r="G576" s="751"/>
      <c r="H576" s="382"/>
      <c r="L576" s="189" t="s">
        <v>429</v>
      </c>
      <c r="M576" s="192">
        <f>SUM(M572:M575)</f>
        <v>416398.73</v>
      </c>
      <c r="N576" s="192">
        <f>SUM(N572:N575)</f>
        <v>194050.23</v>
      </c>
    </row>
    <row r="577" spans="1:14" hidden="1">
      <c r="C577" s="287" t="s">
        <v>4</v>
      </c>
      <c r="D577" s="288" t="s">
        <v>5</v>
      </c>
      <c r="E577" s="363" t="s">
        <v>6</v>
      </c>
      <c r="F577" s="367" t="s">
        <v>7</v>
      </c>
      <c r="G577" s="365" t="s">
        <v>8</v>
      </c>
      <c r="H577" s="368"/>
      <c r="L577" s="190"/>
    </row>
    <row r="578" spans="1:14" ht="24.75" hidden="1" customHeight="1">
      <c r="C578" s="739" t="s">
        <v>443</v>
      </c>
      <c r="D578" s="739"/>
      <c r="E578" s="383">
        <f>E579+E582+E584+E587</f>
        <v>1493727</v>
      </c>
      <c r="F578" s="383">
        <f>F579+F582+F584+F587</f>
        <v>1373727</v>
      </c>
      <c r="G578" s="369">
        <f>F578/E578</f>
        <v>0.91966403499434635</v>
      </c>
      <c r="H578" s="370"/>
    </row>
    <row r="579" spans="1:14" s="193" customFormat="1" ht="18" hidden="1" customHeight="1">
      <c r="A579" s="189"/>
      <c r="C579" s="287" t="s">
        <v>4</v>
      </c>
      <c r="D579" s="290" t="s">
        <v>433</v>
      </c>
      <c r="E579" s="378">
        <f>E580</f>
        <v>534587</v>
      </c>
      <c r="F579" s="378">
        <f>F580</f>
        <v>534587</v>
      </c>
      <c r="G579" s="379">
        <f>F579/E579</f>
        <v>1</v>
      </c>
      <c r="H579" s="380"/>
      <c r="I579" s="234"/>
      <c r="L579" s="189">
        <v>2650</v>
      </c>
      <c r="M579" s="192">
        <v>534587</v>
      </c>
      <c r="N579" s="192">
        <v>267295</v>
      </c>
    </row>
    <row r="580" spans="1:14" ht="41.25" hidden="1" customHeight="1">
      <c r="C580" s="334" t="s">
        <v>93</v>
      </c>
      <c r="D580" s="291" t="s">
        <v>140</v>
      </c>
      <c r="E580" s="357">
        <f>E33+E475+E484+E51</f>
        <v>534587</v>
      </c>
      <c r="F580" s="357">
        <f>F33+F475+F484+F51</f>
        <v>534587</v>
      </c>
      <c r="G580" s="371">
        <f>F580/E580</f>
        <v>1</v>
      </c>
      <c r="H580" s="372"/>
      <c r="L580" s="189">
        <v>2710</v>
      </c>
      <c r="M580" s="192">
        <v>101500</v>
      </c>
      <c r="N580" s="192">
        <v>1500</v>
      </c>
    </row>
    <row r="581" spans="1:14" ht="12.75" hidden="1" customHeight="1">
      <c r="A581" s="193"/>
      <c r="C581" s="748"/>
      <c r="D581" s="749"/>
      <c r="E581" s="749"/>
      <c r="F581" s="749"/>
      <c r="G581" s="750"/>
      <c r="H581" s="384"/>
      <c r="L581" s="189">
        <v>2820</v>
      </c>
      <c r="M581" s="192">
        <v>65000</v>
      </c>
      <c r="N581" s="192">
        <v>30200</v>
      </c>
    </row>
    <row r="582" spans="1:14" ht="18" hidden="1" customHeight="1">
      <c r="C582" s="287" t="s">
        <v>5</v>
      </c>
      <c r="D582" s="290" t="s">
        <v>434</v>
      </c>
      <c r="E582" s="378">
        <f>E583</f>
        <v>597640</v>
      </c>
      <c r="F582" s="378">
        <f>F583</f>
        <v>597640</v>
      </c>
      <c r="G582" s="379">
        <f t="shared" ref="G582:G588" si="20">F582/E582</f>
        <v>1</v>
      </c>
      <c r="H582" s="380"/>
      <c r="M582" s="207">
        <f>SUM(M578:M581)</f>
        <v>701087</v>
      </c>
      <c r="N582" s="207">
        <f>SUM(N578:N581)</f>
        <v>298995</v>
      </c>
    </row>
    <row r="583" spans="1:14" ht="29.25" hidden="1" customHeight="1">
      <c r="C583" s="334" t="s">
        <v>437</v>
      </c>
      <c r="D583" s="291" t="s">
        <v>125</v>
      </c>
      <c r="E583" s="357">
        <f>E513+E525</f>
        <v>597640</v>
      </c>
      <c r="F583" s="357">
        <f>F513+F525</f>
        <v>597640</v>
      </c>
      <c r="G583" s="371">
        <f t="shared" si="20"/>
        <v>1</v>
      </c>
      <c r="H583" s="372"/>
      <c r="L583" s="190"/>
    </row>
    <row r="584" spans="1:14" s="193" customFormat="1" ht="24.75" hidden="1" customHeight="1">
      <c r="A584" s="189"/>
      <c r="C584" s="287" t="s">
        <v>6</v>
      </c>
      <c r="D584" s="294" t="s">
        <v>435</v>
      </c>
      <c r="E584" s="378">
        <f>SUM(E585:E586)</f>
        <v>235000</v>
      </c>
      <c r="F584" s="378">
        <f>SUM(F585:F586)</f>
        <v>235000</v>
      </c>
      <c r="G584" s="379">
        <f t="shared" si="20"/>
        <v>1</v>
      </c>
      <c r="H584" s="380"/>
      <c r="I584" s="234"/>
      <c r="M584" s="207">
        <f>E555+E556+E557+E569</f>
        <v>255000</v>
      </c>
      <c r="N584" s="207">
        <f>F555+F556+F557+F569</f>
        <v>255000</v>
      </c>
    </row>
    <row r="585" spans="1:14" s="193" customFormat="1" ht="36" hidden="1" customHeight="1">
      <c r="A585" s="189"/>
      <c r="C585" s="334" t="s">
        <v>438</v>
      </c>
      <c r="D585" s="295" t="s">
        <v>139</v>
      </c>
      <c r="E585" s="357">
        <f>E34+E479</f>
        <v>35000</v>
      </c>
      <c r="F585" s="357">
        <f>F34+F479</f>
        <v>35000</v>
      </c>
      <c r="G585" s="357">
        <f t="shared" si="20"/>
        <v>1</v>
      </c>
      <c r="H585" s="297"/>
      <c r="I585" s="234"/>
      <c r="L585" s="189"/>
      <c r="M585" s="192" t="e">
        <f>#REF!-M584</f>
        <v>#REF!</v>
      </c>
      <c r="N585" s="192" t="e">
        <f>#REF!-N584</f>
        <v>#REF!</v>
      </c>
    </row>
    <row r="586" spans="1:14" s="193" customFormat="1" ht="24.75" hidden="1" customHeight="1">
      <c r="A586" s="189"/>
      <c r="C586" s="334" t="s">
        <v>110</v>
      </c>
      <c r="D586" s="292" t="s">
        <v>439</v>
      </c>
      <c r="E586" s="357">
        <f>E40</f>
        <v>200000</v>
      </c>
      <c r="F586" s="357">
        <f>F40</f>
        <v>200000</v>
      </c>
      <c r="G586" s="357">
        <f t="shared" si="20"/>
        <v>1</v>
      </c>
      <c r="H586" s="297"/>
      <c r="I586" s="234"/>
      <c r="L586" s="189"/>
      <c r="M586" s="192"/>
      <c r="N586" s="192"/>
    </row>
    <row r="587" spans="1:14" s="337" customFormat="1" ht="21" hidden="1" customHeight="1">
      <c r="C587" s="335" t="s">
        <v>7</v>
      </c>
      <c r="D587" s="336" t="s">
        <v>436</v>
      </c>
      <c r="E587" s="385">
        <f>SUM(E588:E591)</f>
        <v>126500</v>
      </c>
      <c r="F587" s="385">
        <f>SUM(F588:F591)</f>
        <v>6500</v>
      </c>
      <c r="G587" s="385">
        <f t="shared" si="20"/>
        <v>5.1383399209486168E-2</v>
      </c>
      <c r="H587" s="386"/>
      <c r="I587" s="338"/>
      <c r="M587" s="339"/>
      <c r="N587" s="339"/>
    </row>
    <row r="588" spans="1:14" s="193" customFormat="1" ht="27" hidden="1" customHeight="1">
      <c r="A588" s="189"/>
      <c r="C588" s="334" t="s">
        <v>111</v>
      </c>
      <c r="D588" s="295" t="s">
        <v>440</v>
      </c>
      <c r="E588" s="357">
        <v>100000</v>
      </c>
      <c r="F588" s="357">
        <v>0</v>
      </c>
      <c r="G588" s="357">
        <f t="shared" si="20"/>
        <v>0</v>
      </c>
      <c r="H588" s="297"/>
      <c r="I588" s="234"/>
      <c r="L588" s="189"/>
      <c r="M588" s="192"/>
      <c r="N588" s="192"/>
    </row>
    <row r="589" spans="1:14" s="193" customFormat="1" ht="24.75" hidden="1" customHeight="1">
      <c r="A589" s="189"/>
      <c r="C589" s="334" t="s">
        <v>133</v>
      </c>
      <c r="D589" s="292" t="s">
        <v>441</v>
      </c>
      <c r="E589" s="357">
        <f>E39</f>
        <v>20000</v>
      </c>
      <c r="F589" s="357">
        <f>F39</f>
        <v>0</v>
      </c>
      <c r="G589" s="357">
        <f t="shared" ref="G589:G594" si="21">F589/E589</f>
        <v>0</v>
      </c>
      <c r="H589" s="297"/>
      <c r="I589" s="234"/>
      <c r="L589" s="190"/>
      <c r="M589" s="190"/>
      <c r="N589" s="192"/>
    </row>
    <row r="590" spans="1:14" s="193" customFormat="1" ht="20.25" hidden="1" customHeight="1">
      <c r="C590" s="334" t="s">
        <v>134</v>
      </c>
      <c r="D590" s="292" t="s">
        <v>364</v>
      </c>
      <c r="E590" s="357">
        <f>E467</f>
        <v>5000</v>
      </c>
      <c r="F590" s="357">
        <f>F467</f>
        <v>5000</v>
      </c>
      <c r="G590" s="357">
        <f t="shared" si="21"/>
        <v>1</v>
      </c>
      <c r="H590" s="297"/>
      <c r="I590" s="234"/>
      <c r="L590" s="189"/>
      <c r="M590" s="192"/>
      <c r="N590" s="192"/>
    </row>
    <row r="591" spans="1:14" s="193" customFormat="1" ht="21" hidden="1" customHeight="1">
      <c r="C591" s="334" t="s">
        <v>432</v>
      </c>
      <c r="D591" s="292" t="s">
        <v>442</v>
      </c>
      <c r="E591" s="387">
        <v>1500</v>
      </c>
      <c r="F591" s="387">
        <v>1500</v>
      </c>
      <c r="G591" s="357">
        <f t="shared" si="21"/>
        <v>1</v>
      </c>
      <c r="H591" s="297"/>
      <c r="I591" s="234"/>
      <c r="L591" s="189"/>
      <c r="M591" s="192"/>
      <c r="N591" s="192"/>
    </row>
    <row r="592" spans="1:14" ht="24" hidden="1" customHeight="1">
      <c r="A592" s="193"/>
      <c r="C592" s="740" t="s">
        <v>444</v>
      </c>
      <c r="D592" s="741"/>
      <c r="E592" s="383">
        <f>E593</f>
        <v>65000</v>
      </c>
      <c r="F592" s="383">
        <f>F593</f>
        <v>65000</v>
      </c>
      <c r="G592" s="369">
        <f t="shared" si="21"/>
        <v>1</v>
      </c>
      <c r="H592" s="370"/>
    </row>
    <row r="593" spans="1:14" s="193" customFormat="1" ht="25.5" hidden="1" customHeight="1">
      <c r="C593" s="287" t="s">
        <v>4</v>
      </c>
      <c r="D593" s="294" t="s">
        <v>363</v>
      </c>
      <c r="E593" s="378">
        <f>E532</f>
        <v>65000</v>
      </c>
      <c r="F593" s="378">
        <f>F532</f>
        <v>65000</v>
      </c>
      <c r="G593" s="379">
        <f t="shared" si="21"/>
        <v>1</v>
      </c>
      <c r="H593" s="380"/>
      <c r="I593" s="234"/>
      <c r="M593" s="207"/>
      <c r="N593" s="207"/>
    </row>
    <row r="594" spans="1:14" ht="18" hidden="1" customHeight="1">
      <c r="C594" s="334" t="s">
        <v>445</v>
      </c>
      <c r="D594" s="289" t="s">
        <v>121</v>
      </c>
      <c r="E594" s="357">
        <v>3000</v>
      </c>
      <c r="F594" s="357">
        <v>3000</v>
      </c>
      <c r="G594" s="371">
        <f t="shared" si="21"/>
        <v>1</v>
      </c>
      <c r="H594" s="372"/>
      <c r="L594" s="190"/>
      <c r="M594" s="190"/>
    </row>
    <row r="595" spans="1:14" ht="19.5" hidden="1" customHeight="1">
      <c r="A595" s="193"/>
      <c r="C595" s="334" t="s">
        <v>94</v>
      </c>
      <c r="D595" s="296" t="s">
        <v>362</v>
      </c>
      <c r="E595" s="357">
        <v>7200</v>
      </c>
      <c r="F595" s="357">
        <v>7200</v>
      </c>
      <c r="G595" s="371">
        <f t="shared" ref="G595:G604" si="22">F595/E595</f>
        <v>1</v>
      </c>
      <c r="H595" s="372"/>
    </row>
    <row r="596" spans="1:14" ht="23.25" hidden="1" customHeight="1">
      <c r="C596" s="334" t="s">
        <v>446</v>
      </c>
      <c r="D596" s="291" t="s">
        <v>136</v>
      </c>
      <c r="E596" s="357">
        <v>3000</v>
      </c>
      <c r="F596" s="357">
        <v>3000</v>
      </c>
      <c r="G596" s="371">
        <f t="shared" si="22"/>
        <v>1</v>
      </c>
      <c r="H596" s="372"/>
    </row>
    <row r="597" spans="1:14" ht="18" hidden="1" customHeight="1">
      <c r="C597" s="334" t="s">
        <v>447</v>
      </c>
      <c r="D597" s="291" t="s">
        <v>141</v>
      </c>
      <c r="E597" s="357">
        <v>3000</v>
      </c>
      <c r="F597" s="357">
        <v>3000</v>
      </c>
      <c r="G597" s="371">
        <f t="shared" si="22"/>
        <v>1</v>
      </c>
      <c r="H597" s="372"/>
    </row>
    <row r="598" spans="1:14" ht="18" hidden="1" customHeight="1">
      <c r="C598" s="334" t="s">
        <v>448</v>
      </c>
      <c r="D598" s="289" t="s">
        <v>142</v>
      </c>
      <c r="E598" s="357">
        <v>3000</v>
      </c>
      <c r="F598" s="357">
        <v>3000</v>
      </c>
      <c r="G598" s="371">
        <f t="shared" si="22"/>
        <v>1</v>
      </c>
      <c r="H598" s="372"/>
    </row>
    <row r="599" spans="1:14" ht="18" hidden="1" customHeight="1">
      <c r="C599" s="334" t="s">
        <v>449</v>
      </c>
      <c r="D599" s="289" t="s">
        <v>144</v>
      </c>
      <c r="E599" s="357">
        <v>3000</v>
      </c>
      <c r="F599" s="357">
        <v>3000</v>
      </c>
      <c r="G599" s="371">
        <f t="shared" si="22"/>
        <v>1</v>
      </c>
      <c r="H599" s="372"/>
    </row>
    <row r="600" spans="1:14" ht="18.75" hidden="1" customHeight="1">
      <c r="C600" s="334" t="s">
        <v>450</v>
      </c>
      <c r="D600" s="291" t="s">
        <v>143</v>
      </c>
      <c r="E600" s="357">
        <v>3000</v>
      </c>
      <c r="F600" s="357">
        <v>3000</v>
      </c>
      <c r="G600" s="371">
        <f t="shared" si="22"/>
        <v>1</v>
      </c>
      <c r="H600" s="372"/>
    </row>
    <row r="601" spans="1:14" ht="18" hidden="1" customHeight="1">
      <c r="C601" s="334" t="s">
        <v>451</v>
      </c>
      <c r="D601" s="289" t="s">
        <v>122</v>
      </c>
      <c r="E601" s="357">
        <v>2000</v>
      </c>
      <c r="F601" s="357">
        <v>2000</v>
      </c>
      <c r="G601" s="371">
        <f t="shared" si="22"/>
        <v>1</v>
      </c>
      <c r="H601" s="372"/>
    </row>
    <row r="602" spans="1:14" ht="18" hidden="1" customHeight="1">
      <c r="C602" s="334" t="s">
        <v>452</v>
      </c>
      <c r="D602" s="289" t="s">
        <v>148</v>
      </c>
      <c r="E602" s="357">
        <v>1500</v>
      </c>
      <c r="F602" s="357">
        <v>1500</v>
      </c>
      <c r="G602" s="371">
        <f t="shared" si="22"/>
        <v>1</v>
      </c>
      <c r="H602" s="372"/>
      <c r="M602" s="297"/>
      <c r="N602" s="297"/>
    </row>
    <row r="603" spans="1:14" ht="18" hidden="1" customHeight="1">
      <c r="C603" s="334" t="s">
        <v>453</v>
      </c>
      <c r="D603" s="289" t="s">
        <v>332</v>
      </c>
      <c r="E603" s="357">
        <v>1500</v>
      </c>
      <c r="F603" s="357">
        <v>1500</v>
      </c>
      <c r="G603" s="371">
        <f t="shared" si="22"/>
        <v>1</v>
      </c>
      <c r="H603" s="372"/>
      <c r="M603" s="297"/>
      <c r="N603" s="297"/>
    </row>
    <row r="604" spans="1:14" s="193" customFormat="1" ht="24" hidden="1" customHeight="1">
      <c r="C604" s="742" t="s">
        <v>109</v>
      </c>
      <c r="D604" s="743"/>
      <c r="E604" s="378">
        <f>E578+E592</f>
        <v>1558727</v>
      </c>
      <c r="F604" s="378">
        <f>F578+F592</f>
        <v>1438727</v>
      </c>
      <c r="G604" s="379">
        <f t="shared" si="22"/>
        <v>0.92301410060902267</v>
      </c>
      <c r="H604" s="380"/>
      <c r="I604" s="234"/>
      <c r="M604" s="298"/>
      <c r="N604" s="340"/>
    </row>
    <row r="605" spans="1:14" hidden="1"/>
    <row r="606" spans="1:14" hidden="1"/>
    <row r="607" spans="1:14" hidden="1">
      <c r="E607" s="272">
        <f>E592/E541</f>
        <v>2.3227530857048437E-3</v>
      </c>
    </row>
    <row r="608" spans="1:14" hidden="1"/>
    <row r="609" spans="4:5" ht="12" hidden="1" thickBot="1">
      <c r="D609" s="299" t="s">
        <v>336</v>
      </c>
      <c r="E609" s="388" t="s">
        <v>337</v>
      </c>
    </row>
    <row r="610" spans="4:5" ht="12" hidden="1" thickBot="1">
      <c r="D610" s="300" t="s">
        <v>90</v>
      </c>
      <c r="E610" s="389" t="s">
        <v>338</v>
      </c>
    </row>
    <row r="611" spans="4:5" ht="12" hidden="1" thickBot="1">
      <c r="D611" s="300" t="s">
        <v>339</v>
      </c>
      <c r="E611" s="390"/>
    </row>
    <row r="612" spans="4:5" ht="12" hidden="1" thickBot="1">
      <c r="D612" s="300" t="s">
        <v>340</v>
      </c>
      <c r="E612" s="390">
        <v>53400</v>
      </c>
    </row>
    <row r="613" spans="4:5" ht="12" hidden="1" thickBot="1">
      <c r="D613" s="300" t="s">
        <v>341</v>
      </c>
      <c r="E613" s="390">
        <v>120000</v>
      </c>
    </row>
    <row r="614" spans="4:5" ht="12" hidden="1" thickBot="1">
      <c r="D614" s="300" t="s">
        <v>342</v>
      </c>
      <c r="E614" s="389" t="s">
        <v>343</v>
      </c>
    </row>
    <row r="615" spans="4:5" ht="12" hidden="1" thickBot="1">
      <c r="D615" s="300" t="s">
        <v>339</v>
      </c>
      <c r="E615" s="390"/>
    </row>
    <row r="616" spans="4:5" ht="12" hidden="1" thickBot="1">
      <c r="D616" s="300" t="s">
        <v>344</v>
      </c>
      <c r="E616" s="391">
        <v>6644880</v>
      </c>
    </row>
    <row r="617" spans="4:5" ht="12" hidden="1" thickBot="1">
      <c r="D617" s="300" t="s">
        <v>345</v>
      </c>
      <c r="E617" s="391">
        <v>351899</v>
      </c>
    </row>
    <row r="618" spans="4:5" ht="12" hidden="1" thickBot="1">
      <c r="D618" s="300" t="s">
        <v>346</v>
      </c>
      <c r="E618" s="391">
        <v>1192112</v>
      </c>
    </row>
    <row r="619" spans="4:5" ht="12" hidden="1" thickBot="1">
      <c r="D619" s="300" t="s">
        <v>340</v>
      </c>
      <c r="E619" s="390">
        <v>435202</v>
      </c>
    </row>
    <row r="620" spans="4:5" ht="12" hidden="1" thickBot="1">
      <c r="D620" s="300" t="s">
        <v>347</v>
      </c>
      <c r="E620" s="390">
        <v>63000</v>
      </c>
    </row>
    <row r="621" spans="4:5" ht="12" hidden="1" thickBot="1">
      <c r="D621" s="300" t="s">
        <v>348</v>
      </c>
      <c r="E621" s="391">
        <v>548989</v>
      </c>
    </row>
    <row r="622" spans="4:5" ht="12" hidden="1" thickBot="1">
      <c r="D622" s="300" t="s">
        <v>349</v>
      </c>
      <c r="E622" s="390">
        <v>40000</v>
      </c>
    </row>
    <row r="623" spans="4:5" ht="12" hidden="1" thickBot="1">
      <c r="D623" s="300" t="s">
        <v>350</v>
      </c>
      <c r="E623" s="390">
        <v>36800</v>
      </c>
    </row>
    <row r="624" spans="4:5" ht="12" hidden="1" thickBot="1">
      <c r="D624" s="300" t="s">
        <v>351</v>
      </c>
      <c r="E624" s="390" t="s">
        <v>352</v>
      </c>
    </row>
    <row r="625" hidden="1"/>
    <row r="626" hidden="1"/>
    <row r="627" hidden="1"/>
    <row r="628" hidden="1"/>
    <row r="629" hidden="1"/>
    <row r="630" hidden="1"/>
    <row r="631" hidden="1"/>
    <row r="632" hidden="1"/>
    <row r="633" hidden="1"/>
    <row r="634" hidden="1"/>
    <row r="635" hidden="1"/>
    <row r="636" hidden="1"/>
    <row r="637" hidden="1"/>
    <row r="638" hidden="1"/>
    <row r="639" hidden="1"/>
    <row r="640" hidden="1"/>
    <row r="641" hidden="1"/>
    <row r="642" hidden="1"/>
    <row r="643" hidden="1"/>
    <row r="644" hidden="1"/>
    <row r="645" hidden="1"/>
    <row r="646" hidden="1"/>
    <row r="647" hidden="1"/>
    <row r="648" hidden="1"/>
    <row r="649" hidden="1"/>
    <row r="650" hidden="1"/>
    <row r="651" hidden="1"/>
    <row r="652" hidden="1"/>
    <row r="653" hidden="1"/>
    <row r="654" hidden="1"/>
    <row r="655" hidden="1"/>
    <row r="656" hidden="1"/>
    <row r="657" hidden="1"/>
    <row r="658" hidden="1"/>
    <row r="659" hidden="1"/>
    <row r="660" hidden="1"/>
    <row r="661" hidden="1"/>
    <row r="662" hidden="1"/>
    <row r="663" hidden="1"/>
    <row r="664" hidden="1"/>
    <row r="665" hidden="1"/>
    <row r="666" hidden="1"/>
    <row r="667" hidden="1"/>
    <row r="668" hidden="1"/>
    <row r="669" hidden="1"/>
    <row r="670" hidden="1"/>
    <row r="671" hidden="1"/>
    <row r="672" hidden="1"/>
    <row r="673" hidden="1"/>
    <row r="674" hidden="1"/>
    <row r="675" hidden="1"/>
    <row r="676" hidden="1"/>
    <row r="677" hidden="1"/>
    <row r="678" hidden="1"/>
    <row r="679" hidden="1"/>
    <row r="680" hidden="1"/>
    <row r="681" hidden="1"/>
    <row r="682" hidden="1"/>
    <row r="683" hidden="1"/>
    <row r="684" hidden="1"/>
    <row r="685" hidden="1"/>
    <row r="686" hidden="1"/>
    <row r="687" hidden="1"/>
    <row r="688" hidden="1"/>
    <row r="689" hidden="1"/>
    <row r="690" hidden="1"/>
    <row r="691" hidden="1"/>
    <row r="692" hidden="1"/>
    <row r="693" hidden="1"/>
    <row r="694" hidden="1"/>
    <row r="695" hidden="1"/>
    <row r="696" hidden="1"/>
    <row r="697" hidden="1"/>
    <row r="698" hidden="1"/>
    <row r="699" hidden="1"/>
    <row r="700" hidden="1"/>
    <row r="701" hidden="1"/>
    <row r="702" hidden="1"/>
    <row r="703" hidden="1"/>
    <row r="704" hidden="1"/>
    <row r="705" hidden="1"/>
    <row r="706" hidden="1"/>
    <row r="707" hidden="1"/>
    <row r="708" hidden="1"/>
    <row r="709" hidden="1"/>
    <row r="710" hidden="1"/>
    <row r="711" hidden="1"/>
    <row r="712" hidden="1"/>
    <row r="713" hidden="1"/>
    <row r="714" hidden="1"/>
    <row r="715" hidden="1"/>
    <row r="716" hidden="1"/>
    <row r="717" hidden="1"/>
    <row r="718" hidden="1"/>
    <row r="719" hidden="1"/>
    <row r="720" hidden="1"/>
    <row r="721" hidden="1"/>
    <row r="722" hidden="1"/>
    <row r="723" hidden="1"/>
    <row r="724" hidden="1"/>
    <row r="725" hidden="1"/>
    <row r="726" hidden="1"/>
    <row r="727" hidden="1"/>
    <row r="728" hidden="1"/>
    <row r="729" hidden="1"/>
    <row r="730" hidden="1"/>
    <row r="731" hidden="1"/>
    <row r="732" hidden="1"/>
    <row r="733" hidden="1"/>
    <row r="734" hidden="1"/>
    <row r="735" hidden="1"/>
    <row r="736" hidden="1"/>
    <row r="737" hidden="1"/>
    <row r="738" hidden="1"/>
    <row r="739" hidden="1"/>
    <row r="740" hidden="1"/>
    <row r="741" hidden="1"/>
    <row r="742" hidden="1"/>
    <row r="743" hidden="1"/>
    <row r="744" hidden="1"/>
    <row r="745" hidden="1"/>
    <row r="746" hidden="1"/>
    <row r="747" hidden="1"/>
    <row r="748" hidden="1"/>
    <row r="749" hidden="1"/>
    <row r="750" hidden="1"/>
    <row r="751" hidden="1"/>
    <row r="752" hidden="1"/>
    <row r="753" hidden="1"/>
    <row r="754" hidden="1"/>
    <row r="755" hidden="1"/>
    <row r="756" hidden="1"/>
    <row r="757" hidden="1"/>
    <row r="758" hidden="1"/>
    <row r="759" hidden="1"/>
    <row r="760" hidden="1"/>
    <row r="761" hidden="1"/>
    <row r="762" hidden="1"/>
    <row r="763" hidden="1"/>
    <row r="764" hidden="1"/>
    <row r="765" hidden="1"/>
    <row r="766" hidden="1"/>
    <row r="767" hidden="1"/>
    <row r="768" hidden="1"/>
    <row r="769" hidden="1"/>
    <row r="770" hidden="1"/>
    <row r="771" hidden="1"/>
    <row r="772" hidden="1"/>
    <row r="773" hidden="1"/>
    <row r="774" hidden="1"/>
    <row r="775" hidden="1"/>
    <row r="776" hidden="1"/>
    <row r="777" hidden="1"/>
    <row r="778" hidden="1"/>
    <row r="779" hidden="1"/>
    <row r="780" hidden="1"/>
    <row r="781" hidden="1"/>
    <row r="782" hidden="1"/>
    <row r="783" hidden="1"/>
    <row r="784" hidden="1"/>
    <row r="785" hidden="1"/>
    <row r="786" hidden="1"/>
    <row r="787" hidden="1"/>
    <row r="788" hidden="1"/>
    <row r="789" hidden="1"/>
    <row r="790" hidden="1"/>
    <row r="791" hidden="1"/>
    <row r="792" hidden="1"/>
    <row r="793" hidden="1"/>
    <row r="794" hidden="1"/>
    <row r="795" hidden="1"/>
    <row r="796" hidden="1"/>
    <row r="797" hidden="1"/>
    <row r="798" hidden="1"/>
    <row r="799" hidden="1"/>
    <row r="800" hidden="1"/>
    <row r="801" hidden="1"/>
    <row r="802" hidden="1"/>
    <row r="803" hidden="1"/>
    <row r="804" hidden="1"/>
    <row r="805" hidden="1"/>
    <row r="806" hidden="1"/>
    <row r="807" hidden="1"/>
    <row r="808" hidden="1"/>
    <row r="809" hidden="1"/>
    <row r="810" hidden="1"/>
    <row r="811" hidden="1"/>
    <row r="812" hidden="1"/>
    <row r="813" hidden="1"/>
    <row r="814" hidden="1"/>
    <row r="815" hidden="1"/>
    <row r="816" hidden="1"/>
    <row r="817" hidden="1"/>
    <row r="818" hidden="1"/>
    <row r="819" hidden="1"/>
    <row r="820" hidden="1"/>
    <row r="821" hidden="1"/>
    <row r="822" hidden="1"/>
    <row r="823" hidden="1"/>
    <row r="824" hidden="1"/>
    <row r="825" hidden="1"/>
    <row r="826" hidden="1"/>
    <row r="827" hidden="1"/>
    <row r="828" hidden="1"/>
    <row r="829" hidden="1"/>
    <row r="830" hidden="1"/>
    <row r="831" hidden="1"/>
    <row r="832" hidden="1"/>
    <row r="833" hidden="1"/>
    <row r="834" hidden="1"/>
    <row r="835" hidden="1"/>
    <row r="836" hidden="1"/>
    <row r="837" hidden="1"/>
    <row r="838" hidden="1"/>
    <row r="839" hidden="1"/>
    <row r="840" hidden="1"/>
    <row r="841" hidden="1"/>
    <row r="842" hidden="1"/>
    <row r="843" hidden="1"/>
    <row r="844" hidden="1"/>
    <row r="845" hidden="1"/>
    <row r="846" hidden="1"/>
    <row r="847" hidden="1"/>
    <row r="848" hidden="1"/>
    <row r="849" hidden="1"/>
    <row r="850" hidden="1"/>
    <row r="851" hidden="1"/>
    <row r="852" hidden="1"/>
    <row r="853" hidden="1"/>
    <row r="854" hidden="1"/>
    <row r="855" hidden="1"/>
    <row r="856" hidden="1"/>
    <row r="857" hidden="1"/>
    <row r="858" hidden="1"/>
    <row r="859" hidden="1"/>
    <row r="860" hidden="1"/>
    <row r="861" hidden="1"/>
    <row r="862" hidden="1"/>
    <row r="863" hidden="1"/>
    <row r="864" hidden="1"/>
    <row r="865" hidden="1"/>
    <row r="866" hidden="1"/>
    <row r="867" hidden="1"/>
    <row r="868" hidden="1"/>
    <row r="869" hidden="1"/>
    <row r="870" hidden="1"/>
    <row r="871" hidden="1"/>
    <row r="872" hidden="1"/>
    <row r="873" hidden="1"/>
    <row r="874" hidden="1"/>
    <row r="875" hidden="1"/>
    <row r="876" hidden="1"/>
    <row r="877" hidden="1"/>
    <row r="878" hidden="1"/>
    <row r="879" hidden="1"/>
    <row r="880" hidden="1"/>
    <row r="881" hidden="1"/>
    <row r="882" hidden="1"/>
    <row r="883" hidden="1"/>
    <row r="884" hidden="1"/>
    <row r="885" hidden="1"/>
    <row r="886" hidden="1"/>
    <row r="887" hidden="1"/>
    <row r="888" hidden="1"/>
    <row r="889" hidden="1"/>
    <row r="890" hidden="1"/>
    <row r="891" hidden="1"/>
    <row r="892" hidden="1"/>
    <row r="893" hidden="1"/>
    <row r="894" hidden="1"/>
    <row r="895" hidden="1"/>
    <row r="896" hidden="1"/>
    <row r="897" hidden="1"/>
    <row r="898" hidden="1"/>
    <row r="899" hidden="1"/>
    <row r="900" hidden="1"/>
    <row r="901" hidden="1"/>
    <row r="902" hidden="1"/>
    <row r="903" hidden="1"/>
    <row r="904" hidden="1"/>
    <row r="905" hidden="1"/>
    <row r="906" hidden="1"/>
    <row r="907" hidden="1"/>
    <row r="908" hidden="1"/>
    <row r="909" hidden="1"/>
    <row r="910" hidden="1"/>
    <row r="911" hidden="1"/>
    <row r="912" hidden="1"/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  <row r="928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  <row r="947" hidden="1"/>
    <row r="948" hidden="1"/>
    <row r="949" hidden="1"/>
    <row r="950" hidden="1"/>
    <row r="951" hidden="1"/>
    <row r="952" hidden="1"/>
    <row r="953" hidden="1"/>
    <row r="954" hidden="1"/>
    <row r="955" hidden="1"/>
    <row r="956" hidden="1"/>
    <row r="957" hidden="1"/>
    <row r="958" hidden="1"/>
    <row r="959" hidden="1"/>
    <row r="960" hidden="1"/>
    <row r="961" hidden="1"/>
    <row r="962" hidden="1"/>
    <row r="963" hidden="1"/>
    <row r="964" hidden="1"/>
    <row r="965" hidden="1"/>
    <row r="966" hidden="1"/>
    <row r="967" hidden="1"/>
    <row r="968" hidden="1"/>
    <row r="969" hidden="1"/>
    <row r="970" hidden="1"/>
    <row r="971" hidden="1"/>
    <row r="972" hidden="1"/>
    <row r="973" hidden="1"/>
    <row r="974" hidden="1"/>
    <row r="975" hidden="1"/>
    <row r="976" hidden="1"/>
    <row r="977" hidden="1"/>
    <row r="978" hidden="1"/>
    <row r="979" hidden="1"/>
    <row r="980" hidden="1"/>
    <row r="981" hidden="1"/>
    <row r="982" hidden="1"/>
    <row r="983" hidden="1"/>
    <row r="984" hidden="1"/>
    <row r="985" hidden="1"/>
    <row r="986" hidden="1"/>
    <row r="987" hidden="1"/>
    <row r="988" hidden="1"/>
    <row r="989" hidden="1"/>
    <row r="990" hidden="1"/>
    <row r="991" hidden="1"/>
    <row r="992" hidden="1"/>
    <row r="993" hidden="1"/>
    <row r="994" hidden="1"/>
    <row r="995" hidden="1"/>
    <row r="996" hidden="1"/>
    <row r="997" hidden="1"/>
    <row r="998" hidden="1"/>
    <row r="999" hidden="1"/>
    <row r="1000" hidden="1"/>
    <row r="1001" hidden="1"/>
    <row r="1002" hidden="1"/>
    <row r="1003" hidden="1"/>
    <row r="1004" hidden="1"/>
    <row r="1005" hidden="1"/>
    <row r="1006" hidden="1"/>
    <row r="1007" hidden="1"/>
    <row r="1008" hidden="1"/>
    <row r="1009" hidden="1"/>
    <row r="1010" hidden="1"/>
    <row r="1011" hidden="1"/>
    <row r="1012" hidden="1"/>
    <row r="1013" hidden="1"/>
    <row r="1014" hidden="1"/>
    <row r="1015" hidden="1"/>
    <row r="1016" hidden="1"/>
    <row r="1017" hidden="1"/>
    <row r="1018" hidden="1"/>
    <row r="1019" hidden="1"/>
    <row r="1020" hidden="1"/>
    <row r="1021" hidden="1"/>
    <row r="1022" hidden="1"/>
    <row r="1023" hidden="1"/>
    <row r="1024" hidden="1"/>
    <row r="1025" hidden="1"/>
    <row r="1026" hidden="1"/>
    <row r="1027" hidden="1"/>
    <row r="1028" hidden="1"/>
    <row r="1029" hidden="1"/>
    <row r="1030" hidden="1"/>
    <row r="1031" hidden="1"/>
    <row r="1032" hidden="1"/>
    <row r="1033" hidden="1"/>
    <row r="1034" hidden="1"/>
    <row r="1035" hidden="1"/>
    <row r="1036" hidden="1"/>
    <row r="1037" hidden="1"/>
    <row r="1038" hidden="1"/>
    <row r="1039" hidden="1"/>
    <row r="1040" hidden="1"/>
    <row r="1041" hidden="1"/>
    <row r="1042" hidden="1"/>
    <row r="1043" hidden="1"/>
    <row r="1044" hidden="1"/>
    <row r="1045" hidden="1"/>
    <row r="1046" hidden="1"/>
    <row r="1047" hidden="1"/>
    <row r="1048" hidden="1"/>
    <row r="1049" hidden="1"/>
    <row r="1050" hidden="1"/>
    <row r="1051" hidden="1"/>
    <row r="1052" hidden="1"/>
    <row r="1053" hidden="1"/>
    <row r="1054" hidden="1"/>
    <row r="1055" hidden="1"/>
    <row r="1056" hidden="1"/>
    <row r="1057" hidden="1"/>
    <row r="1058" hidden="1"/>
    <row r="1059" hidden="1"/>
    <row r="1060" hidden="1"/>
    <row r="1061" hidden="1"/>
    <row r="1062" hidden="1"/>
    <row r="1063" hidden="1"/>
    <row r="1064" hidden="1"/>
    <row r="1065" hidden="1"/>
    <row r="1066" hidden="1"/>
    <row r="1067" hidden="1"/>
    <row r="1068" hidden="1"/>
    <row r="1069" hidden="1"/>
    <row r="1070" hidden="1"/>
    <row r="1071" hidden="1"/>
    <row r="1072" hidden="1"/>
    <row r="1073" hidden="1"/>
    <row r="1074" hidden="1"/>
    <row r="1075" hidden="1"/>
    <row r="1076" hidden="1"/>
    <row r="1077" hidden="1"/>
    <row r="1078" hidden="1"/>
    <row r="1079" hidden="1"/>
    <row r="1080" hidden="1"/>
    <row r="1081" hidden="1"/>
    <row r="1082" hidden="1"/>
    <row r="1083" hidden="1"/>
    <row r="1084" hidden="1"/>
  </sheetData>
  <mergeCells count="21">
    <mergeCell ref="C578:D578"/>
    <mergeCell ref="C592:D592"/>
    <mergeCell ref="C604:D604"/>
    <mergeCell ref="G549:G550"/>
    <mergeCell ref="C559:F559"/>
    <mergeCell ref="E549:E550"/>
    <mergeCell ref="F549:F550"/>
    <mergeCell ref="C575:C576"/>
    <mergeCell ref="C581:G581"/>
    <mergeCell ref="G575:G576"/>
    <mergeCell ref="C549:C550"/>
    <mergeCell ref="E575:E576"/>
    <mergeCell ref="F575:F576"/>
    <mergeCell ref="D549:D550"/>
    <mergeCell ref="A5:K6"/>
    <mergeCell ref="E8:E9"/>
    <mergeCell ref="D8:D9"/>
    <mergeCell ref="D575:D576"/>
    <mergeCell ref="F8:F9"/>
    <mergeCell ref="I8:I9"/>
    <mergeCell ref="G8:G9"/>
  </mergeCells>
  <phoneticPr fontId="0" type="noConversion"/>
  <pageMargins left="0.19685039370078741" right="0" top="0.19685039370078741" bottom="0.78740157480314965" header="0.51181102362204722" footer="0.51181102362204722"/>
  <pageSetup paperSize="9" orientation="portrait" verticalDpi="144" r:id="rId1"/>
  <headerFooter alignWithMargins="0">
    <oddFooter>Strona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C17"/>
  <sheetViews>
    <sheetView workbookViewId="0">
      <selection activeCell="N26" sqref="J26:N26"/>
    </sheetView>
  </sheetViews>
  <sheetFormatPr defaultRowHeight="12.75"/>
  <cols>
    <col min="1" max="1" width="5.28515625" style="182" customWidth="1"/>
    <col min="2" max="2" width="56.7109375" customWidth="1"/>
    <col min="3" max="3" width="3" customWidth="1"/>
  </cols>
  <sheetData>
    <row r="1" spans="1:3" ht="18" customHeight="1">
      <c r="A1" s="187" t="s">
        <v>366</v>
      </c>
      <c r="B1" s="185" t="s">
        <v>389</v>
      </c>
      <c r="C1" s="188">
        <v>3</v>
      </c>
    </row>
    <row r="2" spans="1:3" ht="18" customHeight="1">
      <c r="A2" s="187" t="s">
        <v>367</v>
      </c>
      <c r="B2" s="185" t="s">
        <v>388</v>
      </c>
      <c r="C2" s="188">
        <v>9</v>
      </c>
    </row>
    <row r="3" spans="1:3" ht="18" customHeight="1">
      <c r="A3" s="187"/>
      <c r="B3" s="186" t="s">
        <v>387</v>
      </c>
      <c r="C3" s="188">
        <v>11</v>
      </c>
    </row>
    <row r="4" spans="1:3" ht="18" customHeight="1">
      <c r="A4" s="187"/>
      <c r="B4" s="186" t="s">
        <v>386</v>
      </c>
      <c r="C4" s="188">
        <v>12</v>
      </c>
    </row>
    <row r="5" spans="1:3" ht="18" customHeight="1">
      <c r="A5" s="187"/>
      <c r="B5" s="186" t="s">
        <v>385</v>
      </c>
      <c r="C5" s="188">
        <v>13</v>
      </c>
    </row>
    <row r="6" spans="1:3" ht="18" customHeight="1">
      <c r="A6" s="187"/>
      <c r="B6" s="186" t="s">
        <v>384</v>
      </c>
      <c r="C6" s="188">
        <v>15</v>
      </c>
    </row>
    <row r="7" spans="1:3" ht="18" customHeight="1">
      <c r="A7" s="187"/>
      <c r="B7" s="186" t="s">
        <v>383</v>
      </c>
      <c r="C7" s="188">
        <v>16</v>
      </c>
    </row>
    <row r="8" spans="1:3" ht="18" customHeight="1">
      <c r="A8" s="187"/>
      <c r="B8" s="186" t="s">
        <v>382</v>
      </c>
      <c r="C8" s="188">
        <v>17</v>
      </c>
    </row>
    <row r="9" spans="1:3" ht="18" customHeight="1">
      <c r="A9" s="187"/>
      <c r="B9" s="186" t="s">
        <v>381</v>
      </c>
      <c r="C9" s="188">
        <v>17</v>
      </c>
    </row>
    <row r="10" spans="1:3" ht="18" customHeight="1">
      <c r="A10" s="187"/>
      <c r="B10" s="186" t="s">
        <v>380</v>
      </c>
      <c r="C10" s="188">
        <v>17</v>
      </c>
    </row>
    <row r="11" spans="1:3" ht="18" customHeight="1">
      <c r="A11" s="187"/>
      <c r="B11" s="186" t="s">
        <v>379</v>
      </c>
      <c r="C11" s="188">
        <v>17</v>
      </c>
    </row>
    <row r="12" spans="1:3" ht="18" customHeight="1">
      <c r="A12" s="187"/>
      <c r="B12" s="186" t="s">
        <v>378</v>
      </c>
      <c r="C12" s="188">
        <v>19</v>
      </c>
    </row>
    <row r="13" spans="1:3" ht="18" customHeight="1">
      <c r="A13" s="187" t="s">
        <v>368</v>
      </c>
      <c r="B13" s="185" t="s">
        <v>377</v>
      </c>
      <c r="C13" s="188">
        <v>20</v>
      </c>
    </row>
    <row r="14" spans="1:3" ht="18" customHeight="1">
      <c r="A14" s="187" t="s">
        <v>369</v>
      </c>
      <c r="B14" s="185" t="s">
        <v>376</v>
      </c>
      <c r="C14" s="188">
        <v>42</v>
      </c>
    </row>
    <row r="15" spans="1:3" ht="18" customHeight="1">
      <c r="A15" s="187" t="s">
        <v>370</v>
      </c>
      <c r="B15" s="185" t="s">
        <v>375</v>
      </c>
      <c r="C15" s="188">
        <v>43</v>
      </c>
    </row>
    <row r="16" spans="1:3" ht="18" customHeight="1">
      <c r="A16" s="187" t="s">
        <v>371</v>
      </c>
      <c r="B16" s="185" t="s">
        <v>374</v>
      </c>
      <c r="C16" s="188">
        <v>44</v>
      </c>
    </row>
    <row r="17" spans="1:3" ht="18" customHeight="1">
      <c r="A17" s="187" t="s">
        <v>372</v>
      </c>
      <c r="B17" s="185" t="s">
        <v>373</v>
      </c>
      <c r="C17" s="188">
        <v>45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24"/>
  <sheetViews>
    <sheetView workbookViewId="0">
      <selection activeCell="D2" sqref="D2:F3"/>
    </sheetView>
  </sheetViews>
  <sheetFormatPr defaultColWidth="9.140625" defaultRowHeight="12.75"/>
  <cols>
    <col min="1" max="1" width="4.5703125" style="415" customWidth="1"/>
    <col min="2" max="2" width="3" style="415" customWidth="1"/>
    <col min="3" max="3" width="31.140625" style="415" customWidth="1"/>
    <col min="4" max="4" width="11.7109375" style="415" customWidth="1"/>
    <col min="5" max="5" width="9.140625" style="415"/>
    <col min="6" max="6" width="13.140625" style="415" customWidth="1"/>
    <col min="7" max="16384" width="9.140625" style="415"/>
  </cols>
  <sheetData>
    <row r="1" spans="1:6">
      <c r="A1" s="458"/>
      <c r="B1" s="458"/>
      <c r="C1" s="458"/>
      <c r="D1" s="788" t="s">
        <v>692</v>
      </c>
      <c r="E1" s="788"/>
      <c r="F1" s="788"/>
    </row>
    <row r="2" spans="1:6">
      <c r="A2" s="458"/>
      <c r="B2" s="458"/>
      <c r="C2" s="458"/>
      <c r="D2" s="783" t="s">
        <v>778</v>
      </c>
      <c r="E2" s="783"/>
      <c r="F2" s="783"/>
    </row>
    <row r="3" spans="1:6" ht="25.5" customHeight="1">
      <c r="A3" s="458"/>
      <c r="B3" s="458"/>
      <c r="C3" s="458"/>
      <c r="D3" s="783"/>
      <c r="E3" s="783"/>
      <c r="F3" s="783"/>
    </row>
    <row r="4" spans="1:6">
      <c r="A4" s="458"/>
      <c r="B4" s="458"/>
      <c r="C4" s="458"/>
      <c r="D4" s="757"/>
      <c r="E4" s="757"/>
      <c r="F4" s="757"/>
    </row>
    <row r="5" spans="1:6" ht="13.5" customHeight="1">
      <c r="A5" s="458"/>
      <c r="B5" s="458"/>
      <c r="C5" s="458"/>
      <c r="D5" s="757"/>
      <c r="E5" s="757"/>
      <c r="F5" s="757"/>
    </row>
    <row r="6" spans="1:6">
      <c r="A6" s="762"/>
      <c r="B6" s="762"/>
      <c r="C6" s="762"/>
      <c r="D6" s="762"/>
      <c r="E6" s="762"/>
      <c r="F6" s="762"/>
    </row>
    <row r="7" spans="1:6" ht="15.75">
      <c r="A7" s="458"/>
      <c r="B7" s="776" t="s">
        <v>707</v>
      </c>
      <c r="C7" s="776"/>
      <c r="D7" s="776"/>
      <c r="E7" s="776"/>
      <c r="F7" s="776"/>
    </row>
    <row r="8" spans="1:6" hidden="1">
      <c r="A8" s="762"/>
      <c r="B8" s="762"/>
      <c r="C8" s="762"/>
      <c r="D8" s="762"/>
      <c r="E8" s="762"/>
      <c r="F8" s="762"/>
    </row>
    <row r="9" spans="1:6" ht="13.5" thickBot="1">
      <c r="A9" s="762"/>
      <c r="B9" s="762"/>
      <c r="C9" s="762"/>
      <c r="D9" s="762"/>
      <c r="E9" s="762"/>
      <c r="F9" s="459" t="s">
        <v>466</v>
      </c>
    </row>
    <row r="10" spans="1:6" ht="23.25" thickBot="1">
      <c r="A10" s="777" t="s">
        <v>467</v>
      </c>
      <c r="B10" s="778"/>
      <c r="C10" s="460" t="s">
        <v>485</v>
      </c>
      <c r="D10" s="460" t="s">
        <v>519</v>
      </c>
      <c r="E10" s="778" t="s">
        <v>520</v>
      </c>
      <c r="F10" s="779"/>
    </row>
    <row r="11" spans="1:6">
      <c r="A11" s="780" t="s">
        <v>521</v>
      </c>
      <c r="B11" s="781"/>
      <c r="C11" s="461" t="s">
        <v>522</v>
      </c>
      <c r="D11" s="461" t="s">
        <v>523</v>
      </c>
      <c r="E11" s="781" t="s">
        <v>524</v>
      </c>
      <c r="F11" s="782"/>
    </row>
    <row r="12" spans="1:6" ht="28.5" customHeight="1">
      <c r="A12" s="764" t="s">
        <v>525</v>
      </c>
      <c r="B12" s="765"/>
      <c r="C12" s="765"/>
      <c r="D12" s="462"/>
      <c r="E12" s="766">
        <f>SUM(E13:F15)</f>
        <v>4772583</v>
      </c>
      <c r="F12" s="767"/>
    </row>
    <row r="13" spans="1:6" ht="39.75" customHeight="1">
      <c r="A13" s="768" t="s">
        <v>521</v>
      </c>
      <c r="B13" s="769"/>
      <c r="C13" s="463" t="s">
        <v>526</v>
      </c>
      <c r="D13" s="464" t="s">
        <v>527</v>
      </c>
      <c r="E13" s="760">
        <v>3967373</v>
      </c>
      <c r="F13" s="761"/>
    </row>
    <row r="14" spans="1:6" s="418" customFormat="1" ht="42" customHeight="1">
      <c r="A14" s="774" t="s">
        <v>522</v>
      </c>
      <c r="B14" s="775"/>
      <c r="C14" s="465" t="s">
        <v>537</v>
      </c>
      <c r="D14" s="464" t="s">
        <v>538</v>
      </c>
      <c r="E14" s="760">
        <v>791710</v>
      </c>
      <c r="F14" s="761"/>
    </row>
    <row r="15" spans="1:6" s="449" customFormat="1" ht="42" customHeight="1">
      <c r="A15" s="755" t="s">
        <v>523</v>
      </c>
      <c r="B15" s="756"/>
      <c r="C15" s="465" t="s">
        <v>681</v>
      </c>
      <c r="D15" s="464" t="s">
        <v>682</v>
      </c>
      <c r="E15" s="786">
        <v>13500</v>
      </c>
      <c r="F15" s="787"/>
    </row>
    <row r="16" spans="1:6" s="421" customFormat="1" ht="42" hidden="1" customHeight="1">
      <c r="A16" s="768" t="s">
        <v>4</v>
      </c>
      <c r="B16" s="769"/>
      <c r="C16" s="465" t="s">
        <v>664</v>
      </c>
      <c r="D16" s="464" t="s">
        <v>547</v>
      </c>
      <c r="E16" s="760">
        <v>0</v>
      </c>
      <c r="F16" s="761"/>
    </row>
    <row r="17" spans="1:6" s="424" customFormat="1" ht="42" hidden="1" customHeight="1">
      <c r="A17" s="768" t="s">
        <v>522</v>
      </c>
      <c r="B17" s="769"/>
      <c r="C17" s="465" t="s">
        <v>551</v>
      </c>
      <c r="D17" s="464" t="s">
        <v>552</v>
      </c>
      <c r="E17" s="760">
        <v>0</v>
      </c>
      <c r="F17" s="761"/>
    </row>
    <row r="18" spans="1:6" ht="29.25" customHeight="1">
      <c r="A18" s="764" t="s">
        <v>528</v>
      </c>
      <c r="B18" s="765"/>
      <c r="C18" s="765"/>
      <c r="D18" s="462"/>
      <c r="E18" s="766">
        <f>E19+E20</f>
        <v>805210</v>
      </c>
      <c r="F18" s="767"/>
    </row>
    <row r="19" spans="1:6" ht="39" customHeight="1">
      <c r="A19" s="768" t="s">
        <v>521</v>
      </c>
      <c r="B19" s="769"/>
      <c r="C19" s="463" t="s">
        <v>529</v>
      </c>
      <c r="D19" s="464" t="s">
        <v>530</v>
      </c>
      <c r="E19" s="760">
        <v>209210</v>
      </c>
      <c r="F19" s="761"/>
    </row>
    <row r="20" spans="1:6" ht="50.25" customHeight="1" thickBot="1">
      <c r="A20" s="770">
        <v>2</v>
      </c>
      <c r="B20" s="771"/>
      <c r="C20" s="466" t="s">
        <v>683</v>
      </c>
      <c r="D20" s="467">
        <v>982</v>
      </c>
      <c r="E20" s="772">
        <v>596000</v>
      </c>
      <c r="F20" s="773"/>
    </row>
    <row r="21" spans="1:6" ht="30" customHeight="1" thickBot="1">
      <c r="A21" s="758" t="s">
        <v>732</v>
      </c>
      <c r="B21" s="759"/>
      <c r="C21" s="759"/>
      <c r="D21" s="468"/>
      <c r="E21" s="784">
        <f>E12-E18</f>
        <v>3967373</v>
      </c>
      <c r="F21" s="785"/>
    </row>
    <row r="22" spans="1:6">
      <c r="A22" s="762"/>
      <c r="B22" s="762"/>
      <c r="C22" s="762"/>
      <c r="D22" s="762"/>
      <c r="E22" s="763"/>
      <c r="F22" s="763"/>
    </row>
    <row r="23" spans="1:6">
      <c r="A23" s="458"/>
      <c r="B23" s="458"/>
      <c r="C23" s="458"/>
      <c r="D23" s="458"/>
      <c r="E23" s="458"/>
      <c r="F23" s="458"/>
    </row>
    <row r="24" spans="1:6">
      <c r="A24" s="458"/>
      <c r="B24" s="458"/>
      <c r="C24" s="458"/>
      <c r="D24" s="458"/>
      <c r="E24" s="458"/>
      <c r="F24" s="458"/>
    </row>
  </sheetData>
  <mergeCells count="33">
    <mergeCell ref="D2:F3"/>
    <mergeCell ref="E21:F21"/>
    <mergeCell ref="E15:F15"/>
    <mergeCell ref="D1:F1"/>
    <mergeCell ref="E14:F14"/>
    <mergeCell ref="A14:B14"/>
    <mergeCell ref="A6:F6"/>
    <mergeCell ref="B7:F7"/>
    <mergeCell ref="A8:F8"/>
    <mergeCell ref="A9:E9"/>
    <mergeCell ref="A10:B10"/>
    <mergeCell ref="E10:F10"/>
    <mergeCell ref="A11:B11"/>
    <mergeCell ref="E11:F11"/>
    <mergeCell ref="A12:C12"/>
    <mergeCell ref="E12:F12"/>
    <mergeCell ref="A13:B13"/>
    <mergeCell ref="A15:B15"/>
    <mergeCell ref="D4:F5"/>
    <mergeCell ref="A21:C21"/>
    <mergeCell ref="E13:F13"/>
    <mergeCell ref="A22:D22"/>
    <mergeCell ref="E22:F22"/>
    <mergeCell ref="A18:C18"/>
    <mergeCell ref="E18:F18"/>
    <mergeCell ref="A19:B19"/>
    <mergeCell ref="E19:F19"/>
    <mergeCell ref="A16:B16"/>
    <mergeCell ref="E16:F16"/>
    <mergeCell ref="A20:B20"/>
    <mergeCell ref="E20:F20"/>
    <mergeCell ref="A17:B17"/>
    <mergeCell ref="E17:F17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G30"/>
  <sheetViews>
    <sheetView workbookViewId="0">
      <selection activeCell="E2" sqref="E2:G3"/>
    </sheetView>
  </sheetViews>
  <sheetFormatPr defaultColWidth="9.140625" defaultRowHeight="12.75"/>
  <cols>
    <col min="1" max="1" width="6.42578125" style="5" customWidth="1"/>
    <col min="2" max="2" width="8.42578125" style="5" customWidth="1"/>
    <col min="3" max="3" width="10.5703125" style="5" hidden="1" customWidth="1"/>
    <col min="4" max="4" width="9.140625" style="5" customWidth="1"/>
    <col min="5" max="5" width="50.28515625" style="5" customWidth="1"/>
    <col min="6" max="6" width="14.7109375" style="5" customWidth="1"/>
    <col min="7" max="16384" width="9.140625" style="5"/>
  </cols>
  <sheetData>
    <row r="1" spans="1:7">
      <c r="A1" s="426"/>
      <c r="B1" s="426"/>
      <c r="C1" s="435"/>
      <c r="D1" s="435"/>
      <c r="E1" s="431" t="s">
        <v>536</v>
      </c>
      <c r="F1" s="426"/>
    </row>
    <row r="2" spans="1:7" ht="12.75" customHeight="1">
      <c r="A2" s="426"/>
      <c r="B2" s="426"/>
      <c r="C2" s="426"/>
      <c r="D2" s="426"/>
      <c r="E2" s="783" t="s">
        <v>778</v>
      </c>
      <c r="F2" s="783"/>
      <c r="G2" s="783"/>
    </row>
    <row r="3" spans="1:7">
      <c r="A3" s="426"/>
      <c r="B3" s="426"/>
      <c r="C3" s="426"/>
      <c r="D3" s="426"/>
      <c r="E3" s="783"/>
      <c r="F3" s="783"/>
      <c r="G3" s="783"/>
    </row>
    <row r="4" spans="1:7">
      <c r="A4" s="426"/>
      <c r="B4" s="426"/>
      <c r="C4" s="426"/>
      <c r="D4" s="426"/>
      <c r="E4" s="436"/>
      <c r="F4" s="426"/>
    </row>
    <row r="5" spans="1:7">
      <c r="A5" s="426"/>
      <c r="B5" s="426"/>
      <c r="C5" s="426"/>
      <c r="D5" s="426"/>
      <c r="E5" s="426"/>
      <c r="F5" s="426"/>
    </row>
    <row r="6" spans="1:7">
      <c r="A6" s="792" t="s">
        <v>708</v>
      </c>
      <c r="B6" s="792"/>
      <c r="C6" s="792"/>
      <c r="D6" s="792"/>
      <c r="E6" s="792"/>
      <c r="F6" s="792"/>
    </row>
    <row r="7" spans="1:7">
      <c r="A7" s="792"/>
      <c r="B7" s="792"/>
      <c r="C7" s="792"/>
      <c r="D7" s="792"/>
      <c r="E7" s="792"/>
      <c r="F7" s="792"/>
    </row>
    <row r="8" spans="1:7">
      <c r="A8" s="469"/>
      <c r="B8" s="469"/>
      <c r="C8" s="469"/>
      <c r="D8" s="469"/>
      <c r="E8" s="469"/>
      <c r="F8" s="469"/>
    </row>
    <row r="9" spans="1:7" s="410" customFormat="1" ht="27" customHeight="1">
      <c r="A9" s="470" t="s">
        <v>69</v>
      </c>
      <c r="B9" s="470" t="s">
        <v>484</v>
      </c>
      <c r="C9" s="470" t="s">
        <v>511</v>
      </c>
      <c r="D9" s="470" t="s">
        <v>512</v>
      </c>
      <c r="E9" s="470" t="s">
        <v>70</v>
      </c>
      <c r="F9" s="470" t="s">
        <v>726</v>
      </c>
    </row>
    <row r="10" spans="1:7" s="411" customFormat="1">
      <c r="A10" s="471" t="s">
        <v>4</v>
      </c>
      <c r="B10" s="471" t="s">
        <v>5</v>
      </c>
      <c r="C10" s="471" t="s">
        <v>6</v>
      </c>
      <c r="D10" s="471" t="s">
        <v>6</v>
      </c>
      <c r="E10" s="471" t="s">
        <v>7</v>
      </c>
      <c r="F10" s="471" t="s">
        <v>8</v>
      </c>
    </row>
    <row r="11" spans="1:7" s="412" customFormat="1" ht="19.5" hidden="1" customHeight="1">
      <c r="A11" s="472">
        <v>750</v>
      </c>
      <c r="B11" s="472"/>
      <c r="C11" s="472"/>
      <c r="D11" s="472"/>
      <c r="E11" s="473" t="s">
        <v>183</v>
      </c>
      <c r="F11" s="474">
        <f>F13</f>
        <v>0</v>
      </c>
    </row>
    <row r="12" spans="1:7" s="413" customFormat="1" ht="16.5" hidden="1" customHeight="1">
      <c r="A12" s="475"/>
      <c r="B12" s="475">
        <v>75011</v>
      </c>
      <c r="C12" s="475"/>
      <c r="D12" s="475"/>
      <c r="E12" s="476" t="s">
        <v>28</v>
      </c>
      <c r="F12" s="477">
        <f>F13</f>
        <v>0</v>
      </c>
    </row>
    <row r="13" spans="1:7" s="413" customFormat="1" ht="45.75" hidden="1" customHeight="1">
      <c r="A13" s="471"/>
      <c r="B13" s="471"/>
      <c r="C13" s="471">
        <v>2350</v>
      </c>
      <c r="D13" s="478" t="s">
        <v>580</v>
      </c>
      <c r="E13" s="479" t="s">
        <v>581</v>
      </c>
      <c r="F13" s="480">
        <v>0</v>
      </c>
    </row>
    <row r="14" spans="1:7" s="413" customFormat="1" ht="18.75" hidden="1" customHeight="1">
      <c r="A14" s="481">
        <v>750</v>
      </c>
      <c r="B14" s="481"/>
      <c r="C14" s="481"/>
      <c r="D14" s="482"/>
      <c r="E14" s="483" t="s">
        <v>183</v>
      </c>
      <c r="F14" s="484">
        <f>F15</f>
        <v>0</v>
      </c>
    </row>
    <row r="15" spans="1:7" s="413" customFormat="1" ht="24" hidden="1" customHeight="1">
      <c r="A15" s="485"/>
      <c r="B15" s="485">
        <v>75011</v>
      </c>
      <c r="C15" s="485"/>
      <c r="D15" s="486"/>
      <c r="E15" s="487" t="s">
        <v>28</v>
      </c>
      <c r="F15" s="474">
        <f>F16</f>
        <v>0</v>
      </c>
    </row>
    <row r="16" spans="1:7" s="413" customFormat="1" ht="24" hidden="1" customHeight="1">
      <c r="A16" s="471"/>
      <c r="B16" s="471"/>
      <c r="C16" s="471"/>
      <c r="D16" s="478" t="s">
        <v>654</v>
      </c>
      <c r="E16" s="479" t="s">
        <v>652</v>
      </c>
      <c r="F16" s="480">
        <v>0</v>
      </c>
    </row>
    <row r="17" spans="1:6" s="413" customFormat="1" ht="27.75" hidden="1" customHeight="1">
      <c r="A17" s="488">
        <v>852</v>
      </c>
      <c r="B17" s="488"/>
      <c r="C17" s="488"/>
      <c r="D17" s="482"/>
      <c r="E17" s="483" t="s">
        <v>249</v>
      </c>
      <c r="F17" s="484">
        <f>F18+F20</f>
        <v>0</v>
      </c>
    </row>
    <row r="18" spans="1:6" s="413" customFormat="1" ht="27.75" hidden="1" customHeight="1">
      <c r="A18" s="489"/>
      <c r="B18" s="489">
        <v>85203</v>
      </c>
      <c r="C18" s="489"/>
      <c r="D18" s="490"/>
      <c r="E18" s="491"/>
      <c r="F18" s="477">
        <f>F19</f>
        <v>0</v>
      </c>
    </row>
    <row r="19" spans="1:6" s="413" customFormat="1" ht="27.75" hidden="1" customHeight="1">
      <c r="A19" s="471"/>
      <c r="B19" s="471"/>
      <c r="C19" s="471"/>
      <c r="D19" s="478" t="s">
        <v>694</v>
      </c>
      <c r="E19" s="479" t="s">
        <v>253</v>
      </c>
      <c r="F19" s="480"/>
    </row>
    <row r="20" spans="1:6" s="413" customFormat="1" ht="27.75" hidden="1" customHeight="1">
      <c r="A20" s="489"/>
      <c r="B20" s="489">
        <v>85228</v>
      </c>
      <c r="C20" s="489"/>
      <c r="D20" s="490"/>
      <c r="E20" s="491"/>
      <c r="F20" s="477">
        <f>F21</f>
        <v>0</v>
      </c>
    </row>
    <row r="21" spans="1:6" s="413" customFormat="1" ht="27.75" hidden="1" customHeight="1">
      <c r="A21" s="471"/>
      <c r="B21" s="471"/>
      <c r="C21" s="471"/>
      <c r="D21" s="478" t="s">
        <v>694</v>
      </c>
      <c r="E21" s="479"/>
      <c r="F21" s="480"/>
    </row>
    <row r="22" spans="1:6" s="413" customFormat="1" ht="19.5" customHeight="1">
      <c r="A22" s="475">
        <v>855</v>
      </c>
      <c r="B22" s="475"/>
      <c r="C22" s="475"/>
      <c r="D22" s="475"/>
      <c r="E22" s="491" t="s">
        <v>673</v>
      </c>
      <c r="F22" s="477">
        <f>F23+F27</f>
        <v>86000</v>
      </c>
    </row>
    <row r="23" spans="1:6" s="413" customFormat="1" ht="45.75" customHeight="1">
      <c r="A23" s="492"/>
      <c r="B23" s="493">
        <v>85502</v>
      </c>
      <c r="C23" s="492"/>
      <c r="D23" s="492"/>
      <c r="E23" s="494" t="s">
        <v>513</v>
      </c>
      <c r="F23" s="495">
        <f>F25+F26+F24</f>
        <v>86000</v>
      </c>
    </row>
    <row r="24" spans="1:6" s="413" customFormat="1" ht="31.5" customHeight="1">
      <c r="A24" s="496"/>
      <c r="B24" s="496"/>
      <c r="C24" s="496"/>
      <c r="D24" s="497" t="s">
        <v>695</v>
      </c>
      <c r="E24" s="498" t="s">
        <v>696</v>
      </c>
      <c r="F24" s="499">
        <v>54000</v>
      </c>
    </row>
    <row r="25" spans="1:6" s="413" customFormat="1" ht="23.25" customHeight="1">
      <c r="A25" s="496"/>
      <c r="B25" s="496"/>
      <c r="C25" s="496"/>
      <c r="D25" s="500">
        <v>970</v>
      </c>
      <c r="E25" s="501" t="s">
        <v>697</v>
      </c>
      <c r="F25" s="499">
        <v>7000</v>
      </c>
    </row>
    <row r="26" spans="1:6" s="413" customFormat="1" ht="33.75" customHeight="1">
      <c r="A26" s="471"/>
      <c r="B26" s="471"/>
      <c r="C26" s="471"/>
      <c r="D26" s="500" t="s">
        <v>514</v>
      </c>
      <c r="E26" s="502" t="s">
        <v>698</v>
      </c>
      <c r="F26" s="480">
        <v>25000</v>
      </c>
    </row>
    <row r="27" spans="1:6" s="414" customFormat="1" ht="15" hidden="1" customHeight="1">
      <c r="A27" s="475"/>
      <c r="B27" s="475">
        <v>85228</v>
      </c>
      <c r="C27" s="475"/>
      <c r="D27" s="475"/>
      <c r="E27" s="503" t="s">
        <v>515</v>
      </c>
      <c r="F27" s="477">
        <f>F28</f>
        <v>0</v>
      </c>
    </row>
    <row r="28" spans="1:6" s="413" customFormat="1" ht="23.25" hidden="1" customHeight="1">
      <c r="A28" s="471"/>
      <c r="B28" s="471"/>
      <c r="C28" s="471"/>
      <c r="D28" s="471" t="s">
        <v>516</v>
      </c>
      <c r="E28" s="502" t="s">
        <v>517</v>
      </c>
      <c r="F28" s="480"/>
    </row>
    <row r="29" spans="1:6" s="413" customFormat="1" ht="25.5" customHeight="1">
      <c r="A29" s="789" t="s">
        <v>518</v>
      </c>
      <c r="B29" s="790"/>
      <c r="C29" s="790"/>
      <c r="D29" s="790"/>
      <c r="E29" s="791"/>
      <c r="F29" s="504">
        <f>F14+F22</f>
        <v>86000</v>
      </c>
    </row>
    <row r="30" spans="1:6">
      <c r="A30" s="469"/>
      <c r="B30" s="469"/>
      <c r="C30" s="469"/>
      <c r="D30" s="469"/>
      <c r="E30" s="469"/>
      <c r="F30" s="469"/>
    </row>
  </sheetData>
  <mergeCells count="3">
    <mergeCell ref="A29:E29"/>
    <mergeCell ref="A6:F7"/>
    <mergeCell ref="E2:G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K16"/>
  <sheetViews>
    <sheetView workbookViewId="0">
      <selection activeCell="F23" sqref="F23"/>
    </sheetView>
  </sheetViews>
  <sheetFormatPr defaultColWidth="9.140625" defaultRowHeight="12"/>
  <cols>
    <col min="1" max="1" width="10.85546875" style="4" customWidth="1"/>
    <col min="2" max="2" width="7.5703125" style="4" customWidth="1"/>
    <col min="3" max="3" width="8.140625" style="4" customWidth="1"/>
    <col min="4" max="4" width="10.140625" style="4" customWidth="1"/>
    <col min="5" max="5" width="11.5703125" style="4" customWidth="1"/>
    <col min="6" max="6" width="12" style="4" customWidth="1"/>
    <col min="7" max="7" width="9.140625" style="4"/>
    <col min="8" max="8" width="4.28515625" style="4" customWidth="1"/>
    <col min="9" max="9" width="9.140625" style="4"/>
    <col min="10" max="10" width="13.28515625" style="4" customWidth="1"/>
    <col min="11" max="16384" width="9.140625" style="4"/>
  </cols>
  <sheetData>
    <row r="1" spans="1:11">
      <c r="A1" s="437"/>
      <c r="B1" s="437"/>
      <c r="C1" s="437"/>
      <c r="D1" s="437"/>
      <c r="E1" s="437"/>
      <c r="F1" s="437"/>
      <c r="G1" s="439" t="s">
        <v>553</v>
      </c>
      <c r="H1" s="440"/>
      <c r="I1" s="440"/>
      <c r="J1" s="440"/>
    </row>
    <row r="2" spans="1:11">
      <c r="A2" s="437"/>
      <c r="B2" s="437"/>
      <c r="C2" s="437"/>
      <c r="D2" s="437"/>
      <c r="E2" s="437"/>
      <c r="F2" s="437"/>
      <c r="G2" s="820" t="s">
        <v>778</v>
      </c>
      <c r="H2" s="820"/>
      <c r="I2" s="820"/>
      <c r="J2" s="820"/>
    </row>
    <row r="3" spans="1:11" ht="29.25" customHeight="1">
      <c r="A3" s="437"/>
      <c r="B3" s="437"/>
      <c r="C3" s="437"/>
      <c r="D3" s="437"/>
      <c r="E3" s="437"/>
      <c r="F3" s="437"/>
      <c r="G3" s="820"/>
      <c r="H3" s="820"/>
      <c r="I3" s="820"/>
      <c r="J3" s="820"/>
    </row>
    <row r="4" spans="1:11" ht="12.75">
      <c r="A4" s="437"/>
      <c r="B4" s="437"/>
      <c r="C4" s="437"/>
      <c r="D4" s="437"/>
      <c r="E4" s="437"/>
      <c r="F4" s="437"/>
      <c r="G4" s="819"/>
      <c r="H4" s="819"/>
      <c r="I4" s="819"/>
      <c r="J4" s="819"/>
      <c r="K4" s="420"/>
    </row>
    <row r="5" spans="1:11">
      <c r="A5" s="441"/>
      <c r="B5" s="437"/>
      <c r="C5" s="437"/>
      <c r="D5" s="437"/>
      <c r="E5" s="437"/>
      <c r="F5" s="437"/>
      <c r="G5" s="819"/>
      <c r="H5" s="819"/>
      <c r="I5" s="819"/>
      <c r="J5" s="819"/>
    </row>
    <row r="6" spans="1:11" ht="26.25" customHeight="1">
      <c r="A6" s="821" t="s">
        <v>727</v>
      </c>
      <c r="B6" s="821"/>
      <c r="C6" s="821"/>
      <c r="D6" s="821"/>
      <c r="E6" s="821"/>
      <c r="F6" s="821"/>
      <c r="G6" s="821"/>
      <c r="H6" s="821"/>
      <c r="I6" s="821"/>
      <c r="J6" s="821"/>
    </row>
    <row r="7" spans="1:11" ht="12.75" thickBot="1">
      <c r="A7" s="442"/>
      <c r="B7" s="437"/>
      <c r="C7" s="437"/>
      <c r="D7" s="437"/>
      <c r="E7" s="437"/>
      <c r="F7" s="437"/>
      <c r="G7" s="437"/>
      <c r="H7" s="437"/>
      <c r="I7" s="437"/>
      <c r="J7" s="437"/>
    </row>
    <row r="8" spans="1:11" ht="12.75" thickBot="1">
      <c r="A8" s="822" t="s">
        <v>506</v>
      </c>
      <c r="B8" s="823"/>
      <c r="C8" s="823"/>
      <c r="D8" s="824"/>
      <c r="E8" s="822" t="s">
        <v>502</v>
      </c>
      <c r="F8" s="823"/>
      <c r="G8" s="823"/>
      <c r="H8" s="823"/>
      <c r="I8" s="823"/>
      <c r="J8" s="824"/>
    </row>
    <row r="9" spans="1:11" ht="64.5" customHeight="1">
      <c r="A9" s="804" t="s">
        <v>507</v>
      </c>
      <c r="B9" s="510" t="s">
        <v>69</v>
      </c>
      <c r="C9" s="510" t="s">
        <v>468</v>
      </c>
      <c r="D9" s="510" t="s">
        <v>651</v>
      </c>
      <c r="E9" s="807" t="s">
        <v>509</v>
      </c>
      <c r="F9" s="808"/>
      <c r="G9" s="825" t="s">
        <v>69</v>
      </c>
      <c r="H9" s="825"/>
      <c r="I9" s="510" t="s">
        <v>468</v>
      </c>
      <c r="J9" s="511" t="s">
        <v>653</v>
      </c>
    </row>
    <row r="10" spans="1:11" ht="18" customHeight="1">
      <c r="A10" s="805"/>
      <c r="B10" s="813">
        <v>756</v>
      </c>
      <c r="C10" s="813">
        <v>75618</v>
      </c>
      <c r="D10" s="816">
        <v>116500</v>
      </c>
      <c r="E10" s="807"/>
      <c r="F10" s="808"/>
      <c r="G10" s="802"/>
      <c r="H10" s="802"/>
      <c r="I10" s="506"/>
      <c r="J10" s="507"/>
    </row>
    <row r="11" spans="1:11" ht="20.25" customHeight="1">
      <c r="A11" s="805"/>
      <c r="B11" s="814"/>
      <c r="C11" s="814"/>
      <c r="D11" s="817"/>
      <c r="E11" s="809"/>
      <c r="F11" s="810"/>
      <c r="G11" s="798">
        <v>851</v>
      </c>
      <c r="H11" s="799"/>
      <c r="I11" s="505">
        <v>85154</v>
      </c>
      <c r="J11" s="508">
        <v>117780</v>
      </c>
    </row>
    <row r="12" spans="1:11" ht="40.5" customHeight="1">
      <c r="A12" s="806"/>
      <c r="B12" s="815"/>
      <c r="C12" s="815"/>
      <c r="D12" s="818"/>
      <c r="E12" s="811" t="s">
        <v>510</v>
      </c>
      <c r="F12" s="812"/>
      <c r="G12" s="800" t="s">
        <v>69</v>
      </c>
      <c r="H12" s="800"/>
      <c r="I12" s="512" t="s">
        <v>468</v>
      </c>
      <c r="J12" s="513" t="s">
        <v>508</v>
      </c>
    </row>
    <row r="13" spans="1:11" ht="15.75" customHeight="1">
      <c r="A13" s="801"/>
      <c r="B13" s="802"/>
      <c r="C13" s="802"/>
      <c r="D13" s="506"/>
      <c r="E13" s="809"/>
      <c r="F13" s="810"/>
      <c r="G13" s="803">
        <v>851</v>
      </c>
      <c r="H13" s="803"/>
      <c r="I13" s="509">
        <v>85153</v>
      </c>
      <c r="J13" s="508">
        <v>2220</v>
      </c>
    </row>
    <row r="14" spans="1:11" ht="28.5" customHeight="1" thickBot="1">
      <c r="A14" s="793" t="s">
        <v>655</v>
      </c>
      <c r="B14" s="794"/>
      <c r="C14" s="794"/>
      <c r="D14" s="514">
        <f>D10</f>
        <v>116500</v>
      </c>
      <c r="E14" s="795" t="s">
        <v>656</v>
      </c>
      <c r="F14" s="796"/>
      <c r="G14" s="796"/>
      <c r="H14" s="796"/>
      <c r="I14" s="797"/>
      <c r="J14" s="515">
        <f>J13+J11</f>
        <v>120000</v>
      </c>
    </row>
    <row r="15" spans="1:11">
      <c r="A15" s="409"/>
      <c r="B15" s="409"/>
      <c r="C15" s="409"/>
      <c r="D15" s="409"/>
      <c r="E15" s="409"/>
      <c r="F15" s="409"/>
      <c r="G15" s="409"/>
      <c r="H15" s="409"/>
      <c r="I15" s="409"/>
      <c r="J15" s="447"/>
    </row>
    <row r="16" spans="1:11">
      <c r="A16" s="3"/>
    </row>
  </sheetData>
  <mergeCells count="19">
    <mergeCell ref="G4:J5"/>
    <mergeCell ref="G2:J3"/>
    <mergeCell ref="G10:H10"/>
    <mergeCell ref="A6:J6"/>
    <mergeCell ref="A8:D8"/>
    <mergeCell ref="E8:J8"/>
    <mergeCell ref="G9:H9"/>
    <mergeCell ref="A14:C14"/>
    <mergeCell ref="E14:I14"/>
    <mergeCell ref="G11:H11"/>
    <mergeCell ref="G12:H12"/>
    <mergeCell ref="A13:C13"/>
    <mergeCell ref="G13:H13"/>
    <mergeCell ref="A9:A12"/>
    <mergeCell ref="E9:F11"/>
    <mergeCell ref="E12:F13"/>
    <mergeCell ref="B10:B12"/>
    <mergeCell ref="C10:C12"/>
    <mergeCell ref="D10:D12"/>
  </mergeCell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25"/>
  <sheetViews>
    <sheetView workbookViewId="0">
      <selection activeCell="J22" sqref="J22"/>
    </sheetView>
  </sheetViews>
  <sheetFormatPr defaultColWidth="19.28515625" defaultRowHeight="23.25" customHeight="1"/>
  <cols>
    <col min="1" max="1" width="5.140625" style="5" customWidth="1"/>
    <col min="2" max="2" width="15.28515625" style="5" customWidth="1"/>
    <col min="3" max="3" width="31.140625" style="5" customWidth="1"/>
    <col min="4" max="4" width="16.7109375" style="5" customWidth="1"/>
    <col min="5" max="5" width="16.140625" style="5" customWidth="1"/>
    <col min="6" max="6" width="15.28515625" style="5" customWidth="1"/>
    <col min="7" max="7" width="11.85546875" style="5" customWidth="1"/>
    <col min="8" max="8" width="9.85546875" style="5" hidden="1" customWidth="1"/>
    <col min="9" max="16384" width="19.28515625" style="5"/>
  </cols>
  <sheetData>
    <row r="1" spans="1:8" ht="16.5" customHeight="1">
      <c r="A1" s="469"/>
      <c r="B1" s="469"/>
      <c r="C1" s="469"/>
      <c r="D1" s="626" t="s">
        <v>531</v>
      </c>
      <c r="E1" s="627"/>
      <c r="F1" s="628"/>
      <c r="G1" s="629"/>
      <c r="H1" s="469"/>
    </row>
    <row r="2" spans="1:8" ht="15" customHeight="1">
      <c r="A2" s="469"/>
      <c r="B2" s="469"/>
      <c r="C2" s="827" t="s">
        <v>778</v>
      </c>
      <c r="D2" s="827"/>
      <c r="E2" s="516"/>
      <c r="F2" s="516"/>
      <c r="G2" s="516"/>
      <c r="H2" s="469"/>
    </row>
    <row r="3" spans="1:8" ht="30" customHeight="1">
      <c r="A3" s="469"/>
      <c r="B3" s="469"/>
      <c r="C3" s="827"/>
      <c r="D3" s="827"/>
      <c r="E3" s="516"/>
      <c r="F3" s="516"/>
      <c r="G3" s="516"/>
      <c r="H3" s="469"/>
    </row>
    <row r="4" spans="1:8" ht="3.75" customHeight="1">
      <c r="A4" s="469"/>
      <c r="B4" s="469"/>
      <c r="C4" s="469"/>
      <c r="D4" s="826"/>
      <c r="E4" s="826"/>
      <c r="F4" s="826"/>
      <c r="G4" s="826"/>
      <c r="H4" s="826"/>
    </row>
    <row r="5" spans="1:8" ht="7.5" hidden="1" customHeight="1">
      <c r="A5" s="469"/>
      <c r="B5" s="469"/>
      <c r="C5" s="469"/>
      <c r="D5" s="469"/>
      <c r="E5" s="469"/>
      <c r="F5" s="469"/>
      <c r="G5" s="469"/>
      <c r="H5" s="469"/>
    </row>
    <row r="6" spans="1:8" ht="48" customHeight="1">
      <c r="A6" s="835" t="s">
        <v>709</v>
      </c>
      <c r="B6" s="835"/>
      <c r="C6" s="835"/>
      <c r="D6" s="835"/>
      <c r="E6" s="835"/>
      <c r="F6" s="517"/>
      <c r="G6" s="517"/>
      <c r="H6" s="517"/>
    </row>
    <row r="7" spans="1:8" ht="15.75" customHeight="1" thickBot="1">
      <c r="A7" s="518"/>
      <c r="B7" s="518"/>
      <c r="C7" s="518"/>
      <c r="D7" s="518"/>
      <c r="E7" s="518"/>
      <c r="F7" s="518"/>
      <c r="G7" s="518"/>
      <c r="H7" s="518"/>
    </row>
    <row r="8" spans="1:8" ht="23.25" hidden="1" customHeight="1">
      <c r="A8" s="519" t="s">
        <v>503</v>
      </c>
      <c r="B8" s="469"/>
      <c r="C8" s="469"/>
      <c r="D8" s="469"/>
      <c r="E8" s="469"/>
      <c r="F8" s="469"/>
      <c r="G8" s="469"/>
      <c r="H8" s="469"/>
    </row>
    <row r="9" spans="1:8" ht="23.25" hidden="1" customHeight="1">
      <c r="A9" s="519" t="s">
        <v>733</v>
      </c>
      <c r="B9" s="469"/>
      <c r="C9" s="469"/>
      <c r="D9" s="469"/>
      <c r="E9" s="469"/>
      <c r="F9" s="469"/>
      <c r="G9" s="469"/>
      <c r="H9" s="469"/>
    </row>
    <row r="10" spans="1:8" ht="23.25" hidden="1" customHeight="1">
      <c r="A10" s="519" t="s">
        <v>504</v>
      </c>
      <c r="B10" s="469"/>
      <c r="C10" s="469"/>
      <c r="D10" s="469"/>
      <c r="E10" s="469"/>
      <c r="F10" s="469"/>
      <c r="G10" s="469"/>
      <c r="H10" s="469"/>
    </row>
    <row r="11" spans="1:8" ht="23.25" hidden="1" customHeight="1">
      <c r="A11" s="519" t="s">
        <v>505</v>
      </c>
      <c r="B11" s="469"/>
      <c r="C11" s="469"/>
      <c r="D11" s="469"/>
      <c r="E11" s="469"/>
      <c r="F11" s="469"/>
      <c r="G11" s="469"/>
      <c r="H11" s="469"/>
    </row>
    <row r="12" spans="1:8" ht="23.25" customHeight="1" thickBot="1">
      <c r="A12" s="539" t="s">
        <v>582</v>
      </c>
      <c r="B12" s="836" t="s">
        <v>70</v>
      </c>
      <c r="C12" s="837"/>
      <c r="D12" s="540" t="s">
        <v>506</v>
      </c>
      <c r="E12" s="541" t="s">
        <v>502</v>
      </c>
      <c r="F12" s="469"/>
      <c r="G12" s="469"/>
      <c r="H12" s="469"/>
    </row>
    <row r="13" spans="1:8" ht="23.25" customHeight="1" thickBot="1">
      <c r="A13" s="520">
        <v>1</v>
      </c>
      <c r="B13" s="838">
        <v>2</v>
      </c>
      <c r="C13" s="839"/>
      <c r="D13" s="521">
        <v>3</v>
      </c>
      <c r="E13" s="522">
        <v>4</v>
      </c>
      <c r="F13" s="469"/>
      <c r="G13" s="469"/>
      <c r="H13" s="469"/>
    </row>
    <row r="14" spans="1:8" ht="23.25" customHeight="1" thickBot="1">
      <c r="A14" s="542" t="s">
        <v>4</v>
      </c>
      <c r="B14" s="840" t="s">
        <v>583</v>
      </c>
      <c r="C14" s="841"/>
      <c r="D14" s="543">
        <f>D15+D17</f>
        <v>270200</v>
      </c>
      <c r="E14" s="544"/>
      <c r="F14" s="469"/>
      <c r="G14" s="469"/>
      <c r="H14" s="469"/>
    </row>
    <row r="15" spans="1:8" ht="23.25" customHeight="1">
      <c r="A15" s="842"/>
      <c r="B15" s="844" t="s">
        <v>596</v>
      </c>
      <c r="C15" s="846" t="s">
        <v>597</v>
      </c>
      <c r="D15" s="828">
        <v>270000</v>
      </c>
      <c r="E15" s="829"/>
      <c r="F15" s="469"/>
      <c r="G15" s="469"/>
      <c r="H15" s="469"/>
    </row>
    <row r="16" spans="1:8" ht="1.5" customHeight="1">
      <c r="A16" s="842"/>
      <c r="B16" s="845"/>
      <c r="C16" s="847"/>
      <c r="D16" s="828"/>
      <c r="E16" s="829"/>
      <c r="F16" s="469"/>
      <c r="G16" s="469"/>
      <c r="H16" s="469"/>
    </row>
    <row r="17" spans="1:8" ht="27.75" customHeight="1" thickBot="1">
      <c r="A17" s="843"/>
      <c r="B17" s="523" t="s">
        <v>584</v>
      </c>
      <c r="C17" s="524" t="s">
        <v>585</v>
      </c>
      <c r="D17" s="525">
        <v>200</v>
      </c>
      <c r="E17" s="526"/>
      <c r="F17" s="469"/>
      <c r="G17" s="469"/>
      <c r="H17" s="469"/>
    </row>
    <row r="18" spans="1:8" ht="23.25" customHeight="1" thickBot="1">
      <c r="A18" s="542" t="s">
        <v>5</v>
      </c>
      <c r="B18" s="830" t="s">
        <v>586</v>
      </c>
      <c r="C18" s="831"/>
      <c r="D18" s="545">
        <f>D19+D20+D21+D22</f>
        <v>0</v>
      </c>
      <c r="E18" s="544">
        <f>SUM(E19:E22)</f>
        <v>270200</v>
      </c>
      <c r="F18" s="469"/>
      <c r="G18" s="469"/>
      <c r="H18" s="469"/>
    </row>
    <row r="19" spans="1:8" ht="26.25" customHeight="1">
      <c r="A19" s="527"/>
      <c r="B19" s="528" t="s">
        <v>587</v>
      </c>
      <c r="C19" s="529" t="s">
        <v>588</v>
      </c>
      <c r="D19" s="530"/>
      <c r="E19" s="531">
        <v>7000</v>
      </c>
      <c r="F19" s="469"/>
      <c r="G19" s="469"/>
      <c r="H19" s="469"/>
    </row>
    <row r="20" spans="1:8" ht="23.25" customHeight="1">
      <c r="A20" s="527"/>
      <c r="B20" s="532" t="s">
        <v>589</v>
      </c>
      <c r="C20" s="533" t="s">
        <v>590</v>
      </c>
      <c r="D20" s="534"/>
      <c r="E20" s="535">
        <v>260500</v>
      </c>
      <c r="F20" s="469"/>
      <c r="G20" s="469"/>
      <c r="H20" s="469"/>
    </row>
    <row r="21" spans="1:8" ht="23.25" customHeight="1">
      <c r="A21" s="527"/>
      <c r="B21" s="536" t="s">
        <v>591</v>
      </c>
      <c r="C21" s="533" t="s">
        <v>592</v>
      </c>
      <c r="D21" s="537"/>
      <c r="E21" s="535">
        <v>1500</v>
      </c>
      <c r="F21" s="469"/>
      <c r="G21" s="469"/>
      <c r="H21" s="469"/>
    </row>
    <row r="22" spans="1:8" ht="23.25" customHeight="1" thickBot="1">
      <c r="A22" s="527"/>
      <c r="B22" s="523" t="s">
        <v>593</v>
      </c>
      <c r="C22" s="538" t="s">
        <v>594</v>
      </c>
      <c r="D22" s="537"/>
      <c r="E22" s="535">
        <v>1200</v>
      </c>
      <c r="F22" s="469"/>
      <c r="G22" s="469"/>
      <c r="H22" s="469"/>
    </row>
    <row r="23" spans="1:8" ht="23.25" customHeight="1" thickBot="1">
      <c r="A23" s="832" t="s">
        <v>595</v>
      </c>
      <c r="B23" s="833"/>
      <c r="C23" s="834"/>
      <c r="D23" s="546">
        <f>D14+D18</f>
        <v>270200</v>
      </c>
      <c r="E23" s="547">
        <f>E14+E18</f>
        <v>270200</v>
      </c>
      <c r="F23" s="469"/>
      <c r="G23" s="469"/>
      <c r="H23" s="469"/>
    </row>
    <row r="24" spans="1:8" ht="23.25" customHeight="1">
      <c r="A24" s="469"/>
      <c r="B24" s="469"/>
      <c r="C24" s="469"/>
      <c r="D24" s="469"/>
      <c r="E24" s="469"/>
      <c r="F24" s="469"/>
      <c r="G24" s="469"/>
      <c r="H24" s="469"/>
    </row>
    <row r="25" spans="1:8" ht="23.25" customHeight="1">
      <c r="A25" s="469"/>
      <c r="B25" s="469"/>
      <c r="C25" s="469"/>
      <c r="D25" s="469"/>
      <c r="E25" s="469"/>
      <c r="F25" s="469"/>
      <c r="G25" s="469"/>
      <c r="H25" s="469"/>
    </row>
  </sheetData>
  <mergeCells count="13">
    <mergeCell ref="A23:C23"/>
    <mergeCell ref="A6:E6"/>
    <mergeCell ref="B12:C12"/>
    <mergeCell ref="B13:C13"/>
    <mergeCell ref="B14:C14"/>
    <mergeCell ref="A15:A17"/>
    <mergeCell ref="B15:B16"/>
    <mergeCell ref="C15:C16"/>
    <mergeCell ref="D4:H4"/>
    <mergeCell ref="C2:D3"/>
    <mergeCell ref="D15:D16"/>
    <mergeCell ref="E15:E16"/>
    <mergeCell ref="B18:C1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14</vt:i4>
      </vt:variant>
    </vt:vector>
  </HeadingPairs>
  <TitlesOfParts>
    <vt:vector size="14" baseType="lpstr">
      <vt:lpstr>zał.nr 2</vt:lpstr>
      <vt:lpstr>struktura </vt:lpstr>
      <vt:lpstr>wyd.wg klasyf.</vt:lpstr>
      <vt:lpstr>dz.rozdz.par. 2011</vt:lpstr>
      <vt:lpstr>Arkusz2</vt:lpstr>
      <vt:lpstr>załącznik nr 3</vt:lpstr>
      <vt:lpstr>zał.6</vt:lpstr>
      <vt:lpstr>zał.7</vt:lpstr>
      <vt:lpstr>zał.8</vt:lpstr>
      <vt:lpstr>zał.9</vt:lpstr>
      <vt:lpstr>zał.10</vt:lpstr>
      <vt:lpstr>zał.11</vt:lpstr>
      <vt:lpstr>zał.12</vt:lpstr>
      <vt:lpstr>zał.13</vt:lpstr>
    </vt:vector>
  </TitlesOfParts>
  <Company>UG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FS</dc:creator>
  <cp:lastModifiedBy>Skarbnik</cp:lastModifiedBy>
  <cp:lastPrinted>2020-01-10T10:53:56Z</cp:lastPrinted>
  <dcterms:created xsi:type="dcterms:W3CDTF">2007-03-08T14:42:12Z</dcterms:created>
  <dcterms:modified xsi:type="dcterms:W3CDTF">2020-01-10T10:53:59Z</dcterms:modified>
</cp:coreProperties>
</file>